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BrandaLE/Desktop/"/>
    </mc:Choice>
  </mc:AlternateContent>
  <xr:revisionPtr revIDLastSave="0" documentId="13_ncr:1_{61D9FF41-9733-4F4C-B9A5-99ACE0DA0696}" xr6:coauthVersionLast="45" xr6:coauthVersionMax="45" xr10:uidLastSave="{00000000-0000-0000-0000-000000000000}"/>
  <bookViews>
    <workbookView xWindow="-3980" yWindow="-21140" windowWidth="38400" windowHeight="21140" activeTab="2" xr2:uid="{00000000-000D-0000-FFFF-FFFF00000000}"/>
  </bookViews>
  <sheets>
    <sheet name="Instructions " sheetId="3" r:id="rId1"/>
    <sheet name="Dashboard " sheetId="2" r:id="rId2"/>
    <sheet name="Breakdown of Economic Costs " sheetId="1" r:id="rId3"/>
    <sheet name="Customisable Model" sheetId="6" r:id="rId4"/>
    <sheet name="Data - Breakdown of Economic Co" sheetId="4" r:id="rId5"/>
    <sheet name="Data - Dashboard charts" sheetId="5"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5" i="4" l="1"/>
  <c r="E14" i="6"/>
  <c r="E173" i="6"/>
  <c r="E172" i="6"/>
  <c r="E159" i="6"/>
  <c r="E158" i="6"/>
  <c r="E160" i="6" s="1"/>
  <c r="E150" i="6"/>
  <c r="E149" i="6"/>
  <c r="E151" i="6" s="1"/>
  <c r="E137" i="6"/>
  <c r="E136" i="6"/>
  <c r="E138" i="6" s="1"/>
  <c r="E124" i="6"/>
  <c r="E123" i="6"/>
  <c r="E125" i="6" s="1"/>
  <c r="E115" i="6"/>
  <c r="E114" i="6"/>
  <c r="E116" i="6" s="1"/>
  <c r="E103" i="6"/>
  <c r="E84" i="6"/>
  <c r="E75" i="6"/>
  <c r="E65" i="6"/>
  <c r="E48" i="6"/>
  <c r="E40" i="6"/>
  <c r="E29" i="6"/>
  <c r="E23" i="6"/>
  <c r="E161" i="6" l="1"/>
  <c r="E126" i="6"/>
  <c r="E49" i="6"/>
  <c r="E30" i="6"/>
  <c r="E174" i="6"/>
  <c r="E85" i="6"/>
  <c r="E87" i="6" s="1"/>
  <c r="E177" i="6"/>
  <c r="E102" i="6"/>
  <c r="E104" i="6" s="1"/>
  <c r="D11" i="1"/>
  <c r="D10" i="1"/>
  <c r="C18" i="2"/>
  <c r="D12" i="1" s="1"/>
  <c r="F77" i="4"/>
  <c r="G79" i="4"/>
  <c r="E79" i="4"/>
  <c r="E51" i="6" l="1"/>
  <c r="E178" i="6"/>
  <c r="E176" i="6"/>
  <c r="D5" i="1"/>
  <c r="E62" i="1" s="1"/>
  <c r="F65" i="4"/>
  <c r="G65" i="4"/>
  <c r="F64" i="4"/>
  <c r="G64" i="4"/>
  <c r="E65" i="4"/>
  <c r="E64" i="4"/>
  <c r="E26" i="1" l="1"/>
  <c r="E27" i="1"/>
  <c r="E24" i="1"/>
  <c r="E34" i="1"/>
  <c r="E36" i="1"/>
  <c r="E40" i="1"/>
  <c r="E42" i="1"/>
  <c r="E49" i="1"/>
  <c r="E53" i="1"/>
  <c r="E57" i="1"/>
  <c r="E61" i="1"/>
  <c r="E28" i="1"/>
  <c r="E23" i="1"/>
  <c r="E33" i="1"/>
  <c r="E35" i="1"/>
  <c r="E37" i="1"/>
  <c r="E41" i="1"/>
  <c r="E50" i="1"/>
  <c r="E52" i="1"/>
  <c r="E54" i="1"/>
  <c r="E58" i="1"/>
  <c r="E60" i="1"/>
  <c r="F60" i="4"/>
  <c r="G60" i="4"/>
  <c r="E60" i="4"/>
  <c r="G57" i="4"/>
  <c r="F57" i="4"/>
  <c r="E57" i="4"/>
  <c r="G50" i="4"/>
  <c r="F50" i="4"/>
  <c r="E50" i="4"/>
  <c r="G37" i="4"/>
  <c r="F37" i="4"/>
  <c r="E37" i="4"/>
  <c r="E59" i="1" l="1"/>
  <c r="D6" i="1"/>
  <c r="D7" i="1"/>
  <c r="E133" i="4"/>
  <c r="G133" i="4"/>
  <c r="E186" i="1" l="1"/>
  <c r="E172" i="1"/>
  <c r="E161" i="1"/>
  <c r="E148" i="1"/>
  <c r="E127" i="1"/>
  <c r="E114" i="1"/>
  <c r="E184" i="1"/>
  <c r="E150" i="1"/>
  <c r="E136" i="1"/>
  <c r="E183" i="1"/>
  <c r="E149" i="1"/>
  <c r="E115" i="1"/>
  <c r="E185" i="1"/>
  <c r="E171" i="1"/>
  <c r="E160" i="1"/>
  <c r="E137" i="1"/>
  <c r="E126" i="1"/>
  <c r="E113" i="1"/>
  <c r="E163" i="1"/>
  <c r="E116" i="1"/>
  <c r="E162" i="1"/>
  <c r="E128" i="1"/>
  <c r="E111" i="1"/>
  <c r="E84" i="1"/>
  <c r="E94" i="1"/>
  <c r="E98" i="1"/>
  <c r="E96" i="1"/>
  <c r="E93" i="1"/>
  <c r="E89" i="1"/>
  <c r="E88" i="1"/>
  <c r="E86" i="1"/>
  <c r="E77" i="1"/>
  <c r="E75" i="1"/>
  <c r="E97" i="1"/>
  <c r="E95" i="1"/>
  <c r="E92" i="1"/>
  <c r="E79" i="1"/>
  <c r="E87" i="1"/>
  <c r="E85" i="1"/>
  <c r="E78" i="1"/>
  <c r="E76" i="1"/>
  <c r="E74" i="1"/>
  <c r="E118" i="1" l="1"/>
  <c r="E187" i="1"/>
  <c r="E117" i="1"/>
  <c r="E80" i="1"/>
  <c r="D15" i="5" s="1"/>
  <c r="G136" i="4"/>
  <c r="G135" i="4"/>
  <c r="F131" i="4"/>
  <c r="F123" i="4"/>
  <c r="G118" i="4"/>
  <c r="F116" i="4"/>
  <c r="F115" i="4"/>
  <c r="F113" i="4"/>
  <c r="F104" i="4"/>
  <c r="E98" i="4"/>
  <c r="F96" i="4"/>
  <c r="F87" i="4"/>
  <c r="G82" i="4"/>
  <c r="G81" i="4"/>
  <c r="E80" i="4"/>
  <c r="E82" i="4"/>
  <c r="E81" i="4"/>
  <c r="G104" i="4" l="1"/>
  <c r="E146" i="1"/>
  <c r="G131" i="4"/>
  <c r="E181" i="1"/>
  <c r="E123" i="4"/>
  <c r="E169" i="1"/>
  <c r="G87" i="4"/>
  <c r="E124" i="1"/>
  <c r="E113" i="4"/>
  <c r="E158" i="1"/>
  <c r="G96" i="4"/>
  <c r="E134" i="1"/>
  <c r="G77" i="4"/>
  <c r="E77" i="4"/>
  <c r="G90" i="4"/>
  <c r="G89" i="4"/>
  <c r="G92" i="4" s="1"/>
  <c r="G106" i="4"/>
  <c r="G107" i="4"/>
  <c r="G109" i="4" s="1"/>
  <c r="G108" i="4"/>
  <c r="G115" i="4"/>
  <c r="G116" i="4"/>
  <c r="G126" i="4"/>
  <c r="G127" i="4" s="1"/>
  <c r="E100" i="4"/>
  <c r="G137" i="4"/>
  <c r="F137" i="4"/>
  <c r="F127" i="4"/>
  <c r="F109" i="4"/>
  <c r="E116" i="4"/>
  <c r="F100" i="4"/>
  <c r="F92" i="4"/>
  <c r="E83" i="4"/>
  <c r="E90" i="4"/>
  <c r="E107" i="4"/>
  <c r="E108" i="4"/>
  <c r="E115" i="4"/>
  <c r="E126" i="4"/>
  <c r="F83" i="4"/>
  <c r="E89" i="4"/>
  <c r="E135" i="4"/>
  <c r="E106" i="4"/>
  <c r="E136" i="4"/>
  <c r="E125" i="4"/>
  <c r="E131" i="4"/>
  <c r="G113" i="4"/>
  <c r="G123" i="4"/>
  <c r="E118" i="4"/>
  <c r="E104" i="4"/>
  <c r="E96" i="4"/>
  <c r="G98" i="4"/>
  <c r="G100" i="4" s="1"/>
  <c r="G80" i="4"/>
  <c r="E87" i="4"/>
  <c r="G30" i="4"/>
  <c r="E30" i="4"/>
  <c r="F30" i="4"/>
  <c r="E51" i="1" s="1"/>
  <c r="E55" i="1" s="1"/>
  <c r="G25" i="4"/>
  <c r="F25" i="4"/>
  <c r="E43" i="1" s="1"/>
  <c r="E25" i="4"/>
  <c r="E137" i="4" l="1"/>
  <c r="E127" i="4"/>
  <c r="E109" i="4"/>
  <c r="E92" i="4"/>
  <c r="G83" i="4"/>
  <c r="F10" i="4"/>
  <c r="G10" i="4"/>
  <c r="E10" i="4"/>
  <c r="E25" i="1" l="1"/>
  <c r="E29" i="1" s="1"/>
  <c r="D7" i="5" s="1"/>
  <c r="F103" i="4" l="1"/>
  <c r="E103" i="4" l="1"/>
  <c r="E145" i="1"/>
  <c r="F76" i="4"/>
  <c r="F130" i="4"/>
  <c r="E180" i="1" s="1"/>
  <c r="F95" i="4"/>
  <c r="E133" i="1" s="1"/>
  <c r="F86" i="4"/>
  <c r="E123" i="1" s="1"/>
  <c r="F122" i="4"/>
  <c r="E168" i="1" s="1"/>
  <c r="F112" i="4"/>
  <c r="E157" i="1" s="1"/>
  <c r="E188" i="1"/>
  <c r="E174" i="1"/>
  <c r="E173" i="1"/>
  <c r="E152" i="1"/>
  <c r="E151" i="1"/>
  <c r="E139" i="1"/>
  <c r="E138" i="1"/>
  <c r="F78" i="4" l="1"/>
  <c r="E112" i="1" s="1"/>
  <c r="E119" i="1" s="1"/>
  <c r="E110" i="1"/>
  <c r="F124" i="4"/>
  <c r="G122" i="4"/>
  <c r="E122" i="4"/>
  <c r="G103" i="4"/>
  <c r="F132" i="4"/>
  <c r="E130" i="4"/>
  <c r="G130" i="4"/>
  <c r="E86" i="4"/>
  <c r="G86" i="4"/>
  <c r="G112" i="4"/>
  <c r="E112" i="4"/>
  <c r="F97" i="4"/>
  <c r="G95" i="4"/>
  <c r="E95" i="4"/>
  <c r="F84" i="4"/>
  <c r="G76" i="4"/>
  <c r="E76" i="4"/>
  <c r="F114" i="4"/>
  <c r="E159" i="1" s="1"/>
  <c r="F128" i="4"/>
  <c r="F88" i="4"/>
  <c r="E125" i="1" s="1"/>
  <c r="F105" i="4"/>
  <c r="E147" i="1" s="1"/>
  <c r="E44" i="1"/>
  <c r="E99" i="1"/>
  <c r="E90" i="1"/>
  <c r="E38" i="1"/>
  <c r="E63" i="1"/>
  <c r="E132" i="4" l="1"/>
  <c r="E182" i="1"/>
  <c r="G124" i="4"/>
  <c r="G128" i="4" s="1"/>
  <c r="E170" i="1"/>
  <c r="E175" i="1" s="1"/>
  <c r="G97" i="4"/>
  <c r="G101" i="4" s="1"/>
  <c r="E135" i="1"/>
  <c r="E45" i="1"/>
  <c r="D8" i="5" s="1"/>
  <c r="G132" i="4"/>
  <c r="G138" i="4" s="1"/>
  <c r="F101" i="4"/>
  <c r="E97" i="4"/>
  <c r="E101" i="4" s="1"/>
  <c r="E124" i="4"/>
  <c r="E100" i="1"/>
  <c r="E102" i="1" s="1"/>
  <c r="G78" i="4"/>
  <c r="G84" i="4" s="1"/>
  <c r="E78" i="4"/>
  <c r="E84" i="4" s="1"/>
  <c r="F138" i="4"/>
  <c r="E128" i="4"/>
  <c r="E138" i="4"/>
  <c r="E114" i="4"/>
  <c r="G114" i="4"/>
  <c r="E105" i="4"/>
  <c r="F110" i="4"/>
  <c r="G105" i="4"/>
  <c r="G110" i="4" s="1"/>
  <c r="E88" i="4"/>
  <c r="F93" i="4"/>
  <c r="G88" i="4"/>
  <c r="G93" i="4" s="1"/>
  <c r="E64" i="1"/>
  <c r="E66" i="1" l="1"/>
  <c r="C10" i="2" s="1"/>
  <c r="E189" i="1"/>
  <c r="D27" i="5" s="1"/>
  <c r="D33" i="5"/>
  <c r="C11" i="2"/>
  <c r="D34" i="5"/>
  <c r="D9" i="5"/>
  <c r="D16" i="5"/>
  <c r="E93" i="4"/>
  <c r="D22" i="5"/>
  <c r="E110" i="4"/>
  <c r="E153" i="1"/>
  <c r="D25" i="5" s="1"/>
  <c r="E130" i="1" l="1"/>
  <c r="E129" i="1"/>
  <c r="E131" i="1" l="1"/>
  <c r="D23" i="5" s="1"/>
  <c r="E140" i="1"/>
  <c r="D24" i="5" s="1"/>
  <c r="E141" i="1" l="1"/>
  <c r="F119" i="4"/>
  <c r="F120" i="4" s="1"/>
  <c r="E117" i="4"/>
  <c r="G117" i="4"/>
  <c r="G119" i="4" s="1"/>
  <c r="G120" i="4" s="1"/>
  <c r="E119" i="4" l="1"/>
  <c r="E120" i="4" s="1"/>
  <c r="E165" i="1" l="1"/>
  <c r="E192" i="1" s="1"/>
  <c r="E164" i="1"/>
  <c r="E166" i="1" l="1"/>
  <c r="E176" i="1" s="1"/>
  <c r="E191" i="1"/>
  <c r="C12" i="2" s="1"/>
  <c r="E193" i="1" l="1"/>
  <c r="D26" i="5"/>
  <c r="C13" i="2" l="1"/>
  <c r="D35" i="5"/>
</calcChain>
</file>

<file path=xl/sharedStrings.xml><?xml version="1.0" encoding="utf-8"?>
<sst xmlns="http://schemas.openxmlformats.org/spreadsheetml/2006/main" count="641" uniqueCount="263">
  <si>
    <t>180 DC: Missing Persons Advocacy Network</t>
  </si>
  <si>
    <t>Dashboard Tab</t>
  </si>
  <si>
    <t>Breakdown of Economic Costs Tab</t>
  </si>
  <si>
    <t>The 'Breakdown of Economic Costs' tab reveals the process behind 180DCs projection of these costs. 
The tab highlights the different variables 180DC took into account when estimating the costs for missingness. In addition, the tab illustrates the costs behind each variable 180DC has used in this model</t>
  </si>
  <si>
    <t>Customisable Model</t>
  </si>
  <si>
    <t>Final Comments</t>
  </si>
  <si>
    <t>180DC hopes this model will generate more awareness towards the substantive costs to missingness to both close family members and broader society. 
For any issues or questions, please do not hesitate to contact our 180DC team</t>
  </si>
  <si>
    <t>Cost by sector</t>
  </si>
  <si>
    <t>Select case</t>
  </si>
  <si>
    <t>Case Meanings</t>
  </si>
  <si>
    <t>Description</t>
  </si>
  <si>
    <t xml:space="preserve">Total cost to public sector </t>
  </si>
  <si>
    <t>Medium</t>
  </si>
  <si>
    <t>Low:</t>
  </si>
  <si>
    <t>The lowest estimated cost incurred by the impact of missingness</t>
  </si>
  <si>
    <t xml:space="preserve">Total cost to private sector </t>
  </si>
  <si>
    <t>Base:</t>
  </si>
  <si>
    <t>The most reasonable estimated cost incurred by the impact of missingness</t>
  </si>
  <si>
    <t>Total cost to individuals</t>
  </si>
  <si>
    <t>High:</t>
  </si>
  <si>
    <t>The highest estimated cost incurred by the impact of missingness</t>
  </si>
  <si>
    <t>Total cost ($)</t>
  </si>
  <si>
    <t>Total cost per impacted individual</t>
  </si>
  <si>
    <t>Total cost to all impacted individuals</t>
  </si>
  <si>
    <t>Changeable variables</t>
  </si>
  <si>
    <t>Insert value</t>
  </si>
  <si>
    <t>Number of long-term missing persons cases annually</t>
  </si>
  <si>
    <t>Number of short-term missing persons cases annually</t>
  </si>
  <si>
    <t>Total number of missing persons cases annually</t>
  </si>
  <si>
    <t>High-level dashboard</t>
  </si>
  <si>
    <t>a</t>
  </si>
  <si>
    <t>Detailed breakdown of economic cost to public sector, private sector and individuals annually</t>
  </si>
  <si>
    <t>Selected Case</t>
  </si>
  <si>
    <t>Relationship boundaries</t>
  </si>
  <si>
    <t>Number of individuals impacted by a missing persons</t>
  </si>
  <si>
    <t>Primary boundary (direct family, spouse)</t>
  </si>
  <si>
    <t>Secondary boundary (close friends, relatives)</t>
  </si>
  <si>
    <t>Tertiary boundary (colleagues, social circles)</t>
  </si>
  <si>
    <t xml:space="preserve">Total average cost of welfare annually </t>
  </si>
  <si>
    <t>Annual cost of welfare = Number of impacted individuals that resign x percentage eligible for welfare x amount of welfare provided to eligible candidates</t>
  </si>
  <si>
    <t xml:space="preserve"> </t>
  </si>
  <si>
    <t>Number of impacted individuals that are likely to resign per missing person (primary boundary relationships)</t>
  </si>
  <si>
    <t>Total number of individuals impacted by a missing persons that are likely to resign</t>
  </si>
  <si>
    <t xml:space="preserve">Percentage of impacted individuals that actually resign annually </t>
  </si>
  <si>
    <t>Average JobSeeker payment amount per fortnight</t>
  </si>
  <si>
    <t>Average number of days individual is unemployed for</t>
  </si>
  <si>
    <t xml:space="preserve">Total cost of welfare annually </t>
  </si>
  <si>
    <t>Total average cost of police services annually</t>
  </si>
  <si>
    <t>Annual cost of police services = Number of cases of missing persons x hours spent by police x average hourly rate of police</t>
  </si>
  <si>
    <t>Number of hours spent by police on a short-term missingness case</t>
  </si>
  <si>
    <t>Number of hours spent by police on a long-term missingness case</t>
  </si>
  <si>
    <t xml:space="preserve">Average hourly cost of police services </t>
  </si>
  <si>
    <t xml:space="preserve">Annual cost of police services </t>
  </si>
  <si>
    <t xml:space="preserve">Annual cost of police transportation = Hourly cost of chosen mode of transportation x hours utilised annually </t>
  </si>
  <si>
    <t>Average hourly cost of police transportation</t>
  </si>
  <si>
    <t xml:space="preserve">Average number of hours transportation is used for a short-term missingness case </t>
  </si>
  <si>
    <t xml:space="preserve">Average number of hours transportation is used for a long-term missingness case </t>
  </si>
  <si>
    <t xml:space="preserve">Total number of hours transportation is used for missing persons cases annually </t>
  </si>
  <si>
    <t>Annual cost of police transportation</t>
  </si>
  <si>
    <t>Total average amount of government support provided for healthcare services annually</t>
  </si>
  <si>
    <t>Cost of psychological services borne by the government = Number of impacted individuals that use psychological services x number of sessions attended x (average cost per session - amount borne by the government)</t>
  </si>
  <si>
    <t xml:space="preserve">Number of impacted individuals that are likely to utilise psychological services per missing persons (primary boundary relationships)        </t>
  </si>
  <si>
    <t>Total number of individuals impacted by a missing persons that are likely to utilise psychological services</t>
  </si>
  <si>
    <t>Percentage of impacted individuals that actually utilise psychological services</t>
  </si>
  <si>
    <t>Average number of sessions attended annually</t>
  </si>
  <si>
    <t xml:space="preserve">Average amount borne by the government </t>
  </si>
  <si>
    <t>Total amount borne by the government for psychological services</t>
  </si>
  <si>
    <t>Cost of medical services borne by the government = Number of impacted individuals that use medical services x number of sessions attended x (average cost per session - amount borne by the government)</t>
  </si>
  <si>
    <t xml:space="preserve">Number of impacted individuals that are likely to utilise medical services per missing persons (primary boundary relationships)        </t>
  </si>
  <si>
    <t>Total number of individuals impacted by a missing persons that are likely to utilise medical services</t>
  </si>
  <si>
    <t>Percentage of impacted individuals that actually utilise medical services</t>
  </si>
  <si>
    <t>Total amount borne by the government for medical services</t>
  </si>
  <si>
    <t>Total cost to the public sector</t>
  </si>
  <si>
    <t>Total average cost of unproductive employees annually</t>
  </si>
  <si>
    <t>Annual cost of decreased work performance = Number of impacted individuals with decreased work performance x % decrease in work productivity x salary</t>
  </si>
  <si>
    <t>Number of long-term missingness cases annually</t>
  </si>
  <si>
    <t xml:space="preserve">Number of impacted individuals that are likely to experience decreased work performance per missing persons (primary boundary relationships)        </t>
  </si>
  <si>
    <t>Total number of individuals impacted by long-term missingness cases that are likely to experience decreased work performance annually</t>
  </si>
  <si>
    <t>Percentage of individuals that actually experience decreased work performance</t>
  </si>
  <si>
    <t>Average salary or total annual wage in Australia</t>
  </si>
  <si>
    <t>Percentage decrease in work performance</t>
  </si>
  <si>
    <t>Total average cost of an unproductive employee annually</t>
  </si>
  <si>
    <t>Total average cost of impacted individuals withdrawing from their employer organisation annually</t>
  </si>
  <si>
    <t>Annual cost of leave = Number of impacted individuals that obtain leave x average number of leave days used x cost of leave payment per day</t>
  </si>
  <si>
    <t>Number of impacted individuals that are likely to obtain leave per missing persons (primary boundary relationships)</t>
  </si>
  <si>
    <t>Total number of impacted individuals that are likely to obtain leave</t>
  </si>
  <si>
    <t>Percentage of impacted individuals that actually obtain leave</t>
  </si>
  <si>
    <t>Average number of leave days used annually</t>
  </si>
  <si>
    <t>Average cost of leave payment per day</t>
  </si>
  <si>
    <t xml:space="preserve">Average annual cost of leave payments </t>
  </si>
  <si>
    <t xml:space="preserve">Annual cost of resignation = Number of impacted individuals that resign x (average cost of training a replacement hire + average cost of hiring a replacement) </t>
  </si>
  <si>
    <t>Percentage of impacted individuals that actually resign annually</t>
  </si>
  <si>
    <t xml:space="preserve">Average cost of training a replacement hire </t>
  </si>
  <si>
    <t xml:space="preserve">Average number of hours spent by HR recruiting a replacement hire </t>
  </si>
  <si>
    <t xml:space="preserve">Average hourly cost of HR services </t>
  </si>
  <si>
    <t xml:space="preserve">Average annual cost of resignation to employers of impacted individuals </t>
  </si>
  <si>
    <t>Total cost to the private sector</t>
  </si>
  <si>
    <t>Total Cost to Individuals</t>
  </si>
  <si>
    <t xml:space="preserve">Total average out of pocket spending on legal services </t>
  </si>
  <si>
    <t xml:space="preserve">Total population of people impacted by long-term missigness cases </t>
  </si>
  <si>
    <t>Percentage of impacted individuals that actually seek legal services</t>
  </si>
  <si>
    <t>Hours required from a legal professional (long term)</t>
  </si>
  <si>
    <t>Hourly wage of a legal professional</t>
  </si>
  <si>
    <t>Percentage of impacted individuals who did not receive legal aid (long term)</t>
  </si>
  <si>
    <t>Cost of a legal professional to the average long term impacted individual</t>
  </si>
  <si>
    <t xml:space="preserve">Total average out of pocket spending during search efforts </t>
  </si>
  <si>
    <t xml:space="preserve">Percentage of impacted individuals that actually seek accomodation elsewhere </t>
  </si>
  <si>
    <t xml:space="preserve">Average days spent away from home </t>
  </si>
  <si>
    <t xml:space="preserve">Average cost of accomodation per night </t>
  </si>
  <si>
    <t>Percentage of impacted individuals that travelled long distances</t>
  </si>
  <si>
    <t>Average cost of travelling interstate</t>
  </si>
  <si>
    <t>Average costs of physiological problems</t>
  </si>
  <si>
    <t>Percentage of impacted individuals that actually attend physiological sessions</t>
  </si>
  <si>
    <t xml:space="preserve">Average number of physiological sessions attended </t>
  </si>
  <si>
    <t xml:space="preserve">Average cost of a physiological session </t>
  </si>
  <si>
    <t>Cost of physiological sessions to the average long term impacted individual</t>
  </si>
  <si>
    <t>Cost of physiological sessions to a long term impacted individual who actually
 seeks physiological sessions</t>
  </si>
  <si>
    <t>Average cost of psychological problems</t>
  </si>
  <si>
    <t xml:space="preserve">Total population of people impacted by long-term missingness cases </t>
  </si>
  <si>
    <t xml:space="preserve">Percentage of impacted individuals who felt greater isolation </t>
  </si>
  <si>
    <t xml:space="preserve">Normal premature death rate </t>
  </si>
  <si>
    <t>Increased odds of premature death due to isolation</t>
  </si>
  <si>
    <t xml:space="preserve">Cost of premature death (funeral costs, lost income, etc.) </t>
  </si>
  <si>
    <t>Cost of isolation to the average long term impacted individual</t>
  </si>
  <si>
    <t>Cost of isolation to a long term impacted individual who actually feels greater isolation</t>
  </si>
  <si>
    <t xml:space="preserve">Percentage of impacted individuals who actually from a disrupted sleep routine  </t>
  </si>
  <si>
    <t>Cost of sleep deprivation (decreased productivity and increased absenteeism)</t>
  </si>
  <si>
    <t>Cost of sleep deprivation to the average long term impacted individual</t>
  </si>
  <si>
    <t>Cost of sleep deprivation to a long term impacted individual who actually suffers from a disrupted sleep routine</t>
  </si>
  <si>
    <t xml:space="preserve">Average amount of income lost or forgone </t>
  </si>
  <si>
    <t xml:space="preserve">Total population of people impacted by missigness cases </t>
  </si>
  <si>
    <t xml:space="preserve">Percentage of affected persons who stopped working </t>
  </si>
  <si>
    <t xml:space="preserve">Average weekly wage for an Australian </t>
  </si>
  <si>
    <t>Weekly jobseeker payment</t>
  </si>
  <si>
    <t xml:space="preserve">Average weeks affected persons is unemployed for </t>
  </si>
  <si>
    <t>Income lost or forgone for the average long term impacted individual</t>
  </si>
  <si>
    <t>Income lost or forgone for a long term impacted individual who actually stops working</t>
  </si>
  <si>
    <t>Total cost to public sector</t>
  </si>
  <si>
    <t>Variable</t>
  </si>
  <si>
    <t>Variable description and source</t>
  </si>
  <si>
    <t>Low</t>
  </si>
  <si>
    <t>High</t>
  </si>
  <si>
    <t>Population of missing persons cases that are long-term (greater than 90 days missing). 
Extracted from: https://missingpersons.gov.au/view-all-profiles</t>
  </si>
  <si>
    <t>Father, mother and spouse are most likely to seek these services</t>
  </si>
  <si>
    <t xml:space="preserve">Population of individuals that had a 'primary boundary relationship' to the long-term missing person i.e. number of long-term missingness cases annually x number of impacted individuals that are likely to experience decreased work performance per missing persons </t>
  </si>
  <si>
    <t>The percentage of the population of individuals that had a 'primary boundary relationship' to the long-term missing person that actually resigned from their job due to the impact of missingness. 
Extracted from: https://missingpersons.gov.au/sites/default/files/PDF%20-%20Publications/OTHER/Missing%20People%20Report%20-%20study.pdf</t>
  </si>
  <si>
    <t>Maximum base rate for JobSeek payment (pre covid-19) per fortnight.
Extracted from: https://www.theguardian.com/world/2020/mar/22/australian-jobseekers-to-get-550-increase-as-part-of-huge-coronavirus-welfare-package#:~:text=From%2027%20April%2C%20jobseekers%20will,current%20base%20rate%20of%20%24565.70</t>
  </si>
  <si>
    <t>Average frictional unemployment period, adjusted with an increase of 10 days to allow for typically longer period of unemployment experienced by those impacted by long-term missingness.
Extracted from: https://www.businessinsider.com.au/it-takes-an-average-of-82-days-in-australia-to-find-a-new-job-2018-10#:~:text=A%20survey%20by%20global%20jobs,role%20faster%20than%20other%20generations</t>
  </si>
  <si>
    <t>Annual cost of police services</t>
  </si>
  <si>
    <t>Population of missing persons cases that are short-term (less than 90 days missing). 
Extracted from: https://missingpersons.gov.au/view-all-profiles</t>
  </si>
  <si>
    <t>Average number of hours spent by the police working on a short-term missingness case.
Extracted from: https://missingpersons.gov.au/sites/default/files/PDF%20-%20Publications/Research/Australian/Incidence%20Issues%20and%20Impacts.pdf</t>
  </si>
  <si>
    <t>Average number of hours spent by the police working on a long-term missingness case.
Extracted from: https://missingpersons.gov.au/sites/default/files/PDF%20-%20Publications/Research/Australian/Incidence%20Issues%20and%20Impacts.pdf</t>
  </si>
  <si>
    <t>(Number of short-term missing persons cases annually x Number of hours spent by police on a short-term missingness case) + (Number of long-term missing persons cases annually x Number of hours spent by police on a long-term missingness case)</t>
  </si>
  <si>
    <t>Assume police typically conduct their search using a 6 cylinder operational vehicle. 
Extracted from: https://www.police.nsw.gov.au/__data/assets/pdf_file/0005/569048/USER_CHARGES_2019_for_external_publication.pdf</t>
  </si>
  <si>
    <t>Assume breakdown of hours used in a short-term missingness case is as follows:
 - Initial report: 20 mins
 - Make preliminary inquiries: 20 mins
 - Search: 60 mins
 - Follow-up action when the person is located: 20 mins
Extracted from: https://missingpersons.gov.au/sites/default/files/PDF%20-%20Publications/Research/Australian/Incidence%20Issues%20and%20Impacts.pdf</t>
  </si>
  <si>
    <t>Assume breakdown of hours used in a long-term missingness case is as follows:
 - Initial report: 1 hour
 - Make preliminary inquiries: 1 hour
 - Interviewing people: 20 hours
 - Checking mobile phone providers, financial institutions, social media accounts, local hospitals: 25 hours
 - Reviewing CCTV footage: 15 hours
 - Coordinating media: 3 hours
 - Search: 33 hours
 - Follow-up action when the person is located: 2 hours
Extracted from: https://missingpersons.gov.au/sites/default/files/PDF%20-%20Publications/Research/Australian/Incidence%20Issues%20and%20Impacts.pdf</t>
  </si>
  <si>
    <t xml:space="preserve">(Average hourly cost of police transportation x Average number of hours transportation is used for a short-term missingness case x Number of short-term missing persons cases annually) + (Average hourly cost of police transportation x Average number of hours transportation is used for a long-term missingness case x Number of long-term missing persons cases annually) </t>
  </si>
  <si>
    <t>Father, mother and spouse are most likely to seek these services.</t>
  </si>
  <si>
    <t>Population of individuals that had a 'primary boundary relationship' to the long-term missing person i.e. number of long-term missing persons cases annually x number of impacted individuals that are likely to utilise psychological services per missing persons</t>
  </si>
  <si>
    <t>Extracted from survey conducted by MPAN</t>
  </si>
  <si>
    <t>Medicare rebate amount for sessions with clinical psychologists.
Extracted from: https://www.counsellingsydney.com.au/medicare-psychologist-rebates/#:~:text=When%20you%20have%20an%20appointment,Clinical%20Psychologist)%2C%20per%20session</t>
  </si>
  <si>
    <t>Total population of missing persons cases i.e. both short-term and long-term missing persons cases.
Extracted from: https://missingpersons.gov.au/view-all-profiles</t>
  </si>
  <si>
    <t>Population of individuals that had a 'primary boundary relationship' to a missing person i.e. total number of missing persons cases annually x number of impacted individuals that are likely to utilise medical services per missing persons</t>
  </si>
  <si>
    <t>Percentage of the individuals that had a 'primary boundary relationship' to a missing person that actually utilised medical services due to the impact of missingness.
Extracted from: https://missingpersons.gov.au/sites/default/files/PDF%20-%20Publications/Research/Australian/Incidence%20Issues%20and%20Impacts.pdf</t>
  </si>
  <si>
    <t>Number of medical specialist sessions that the general public would attend, adjusted with an increase of 2 sessions to account for the impact of missingness on emotional wellbeing.
Extracted from:
https://www.abs.gov.au/ausstats/abs@.nsf/mf/4839.0</t>
  </si>
  <si>
    <t>Assume impacted individuals requiring medical services will consult with medical specialists rather than general practitioners. Medicare rebate amount for sessions with medical specialists.
Extracted from: http://www.mbsonline.gov.au/internet/mbsonline/publishing.nsf/Content/8F3FA58ED97DCA35CA2584BE00111151/$File/202001-MBS%2017Jan2020.pdf</t>
  </si>
  <si>
    <t>Total cost to private sector</t>
  </si>
  <si>
    <t>Variable description</t>
  </si>
  <si>
    <t>Average cost of an unproductive employee annually</t>
  </si>
  <si>
    <t>Population of individuals that had a 'primary boundary relationship' to a missing person i.e. number of long-term missingness cases annually x number of impacted individuals that are likely to experience decreased work performance per missing persons</t>
  </si>
  <si>
    <t>Percentage of individuals that experience an impact to their work life as a result of the impact of missingness. 
Extracted from : https://missingpersons.gov.au/sites/default/files/PDF%20-%20Publications/Research/Australian/Incidence%20Issues%20and%20Impacts.pdf</t>
  </si>
  <si>
    <t>Average income earned within a year in Australia. 
Extracted from: https://www.lifehacker.com.au/2020/03/how-much-does-the-average-australian-earn-in-a-year/</t>
  </si>
  <si>
    <t>Annual cost of leave payments</t>
  </si>
  <si>
    <t>Population of individuals that had a 'primary boundary relationship' to a missing person i.e. total number of missing persons cases annually x number of impacted individuals that are likely to obtain leave per missing persons</t>
  </si>
  <si>
    <t>Percentage of individuals that obtain leave as a result of the impact of missingness. 
Extracted from : https://missingpersons.gov.au/sites/default/files/PDF%20-%20Publications/Research/Australian/Incidence%20Issues%20and%20Impacts.pdf</t>
  </si>
  <si>
    <t>Average number of leave days taken as a result of the impact of missingness. 
Extracted from: 
Extracted from : https://missingpersons.gov.au/sites/default/files/PDF%20-%20Publications/Research/Australian/Incidence%20Issues%20and%20Impacts.pdf</t>
  </si>
  <si>
    <t xml:space="preserve">Average salary or total annual wage in Australia divided by 260 work days within a year. </t>
  </si>
  <si>
    <t>Average annual cost of resignation to employers of impacted individuals</t>
  </si>
  <si>
    <t>Average retraining costs associated with training a replacement hire. 
Extracted from: https://www.td.org/insights/atd-releases-2016-state-of-the-industry-report</t>
  </si>
  <si>
    <t>Number of hours spent by HR during the recruitment process for a single replacement hire, including posting on job boards, reviewing applicants, prescreening candidates, interview preparation, wrapping up and hiring (this includes final interviews, testing, calling other applicants, and reference checks).
Extracted from: https://recruiterbox.com/blog/first-in-hr-know-your-numbers-in-hiring</t>
  </si>
  <si>
    <t>The average hourly wage of a recruiter within Australia. 
Extracted from: https://au.indeed.com/salaries/recruiter-Salaries#:~:text=The%20average%20salary%20for%20a,is%20less%20than%201%20year</t>
  </si>
  <si>
    <t>Mainly long term impacted indivduals seek these services</t>
  </si>
  <si>
    <t>Total amount of individuals impacted</t>
  </si>
  <si>
    <t>42% of long term impacted individuals seek a lawyer, and only one of the three primary boundary impacted individuals will need to hire one</t>
  </si>
  <si>
    <t>The time lawyers spend on a case in the coroners court</t>
  </si>
  <si>
    <t>Different lawyer costs according to experience and speciality</t>
  </si>
  <si>
    <t>These impacted persons will be unable to access the court for free</t>
  </si>
  <si>
    <t>Cost to the average impacted individual</t>
  </si>
  <si>
    <t>Cost to all impacted individuals</t>
  </si>
  <si>
    <t>Cost of Accommodation for Impacted Individuals</t>
  </si>
  <si>
    <t>Assumption that 60% of long term impacted individuals seek accomodation elsewhere multiplied by only 1/3 of primary boundary individuals needing to pay for accomodation</t>
  </si>
  <si>
    <t>Educated assumption</t>
  </si>
  <si>
    <t>Different costs according to standard of accomodation</t>
  </si>
  <si>
    <t>Cost of Travel</t>
  </si>
  <si>
    <t>Assumption 66% of people travel, and that 2/3 of primary boundary individuals travel long distances</t>
  </si>
  <si>
    <t>Cost of petrol, cost of flying to Melbourbe and cost of flying to Western Australia</t>
  </si>
  <si>
    <t>Cost of Physiological Problems</t>
  </si>
  <si>
    <t>2/3 of the primary impacted individuals will seek these services 50% of the time</t>
  </si>
  <si>
    <t>Information from 180DC survey</t>
  </si>
  <si>
    <t>Cost varies according to different physiologists</t>
  </si>
  <si>
    <t xml:space="preserve">Cost of Isolation </t>
  </si>
  <si>
    <t>Father, mother, spouse, extended family and friends are most likely to seek these services</t>
  </si>
  <si>
    <t>88% of primary boundary impacted individuals would suffer a material impact</t>
  </si>
  <si>
    <t>Australian Institute of Health and Welfare statistics</t>
  </si>
  <si>
    <t>Premature mortality research article by Burnett College of  Biomedical Sciences</t>
  </si>
  <si>
    <t xml:space="preserve">Cost of Disrupted Sleep Routine </t>
  </si>
  <si>
    <t>94% of suffer from disrupted sleep (180DC survey) but only 1/3 of these people suffer material impacts</t>
  </si>
  <si>
    <t>Direct Health Solutions Report</t>
  </si>
  <si>
    <t>Loss of Financial Earnings</t>
  </si>
  <si>
    <t>Statistics from the Australian Government</t>
  </si>
  <si>
    <t>Data for dashboard charts</t>
  </si>
  <si>
    <t xml:space="preserve">Breakdown of costs to the public sector </t>
  </si>
  <si>
    <t>Cost areas</t>
  </si>
  <si>
    <t xml:space="preserve">Breakdown of costs to the private sector </t>
  </si>
  <si>
    <t>Breakdown of costs to individuals</t>
  </si>
  <si>
    <t>Total spending on legal services for long term affected individuals</t>
  </si>
  <si>
    <t>Total cost of accomodation for long term impacted individuals</t>
  </si>
  <si>
    <t>Total cost of travel for long term impacted individuals</t>
  </si>
  <si>
    <t xml:space="preserve">Total cost of physiological problems for long term impacted individuals	</t>
  </si>
  <si>
    <t>Total cost of psychological problems for long term impacted individuals</t>
  </si>
  <si>
    <t>Total amount of income lost or forgone for long term impacted individuals</t>
  </si>
  <si>
    <t>Distribution of costs by sector</t>
  </si>
  <si>
    <t>Sectors</t>
  </si>
  <si>
    <t>Public sector</t>
  </si>
  <si>
    <t>Private sector</t>
  </si>
  <si>
    <t>Individual sector</t>
  </si>
  <si>
    <t>Overview of economic cost to public sector, private sector and individuals annually</t>
  </si>
  <si>
    <t>Instructions - How to use the model</t>
  </si>
  <si>
    <t xml:space="preserve">Population of long term missing </t>
  </si>
  <si>
    <t xml:space="preserve">Number of people impacted per missing person (primary boundary) </t>
  </si>
  <si>
    <t>Cost of a legal professional to long-term impacted individuals who utilise one</t>
  </si>
  <si>
    <t>Cost of a legal professional to the average long term impacted individual = Number of individuals impacted by a missing persons x percentage of impacted individuals that are likely to seek legal services x cost of a legal professional to a long term impacted individual</t>
  </si>
  <si>
    <t xml:space="preserve">Total cost of accommodation for impacted individuals = Number of individuals likely to be impacted x percentage of impacted individuals likely to live away from home x average cost of accomodation borne by impacted individuals </t>
  </si>
  <si>
    <t xml:space="preserve">Number of people impacted per missing persons (primary boundary) </t>
  </si>
  <si>
    <t>Cost of accomodation to the average long-term impacted individual</t>
  </si>
  <si>
    <t>Cost of accomodation to a long-term impacted individual who actually lives elsewhere</t>
  </si>
  <si>
    <t>Total cost of accomodation for long-term impacted individuals</t>
  </si>
  <si>
    <t xml:space="preserve">Total cost of travel for impacted individuals = Number of individuals likely to be impacted x percentage of impacted individuals likely to travel to other states while searching x average cost of long distance travel per individual </t>
  </si>
  <si>
    <t xml:space="preserve">Population of long-term missing </t>
  </si>
  <si>
    <t>Cost of long distance travel to the average long-term impacted individual</t>
  </si>
  <si>
    <t>Cost of long distance travel to a long-term impacted individual who actually travelled long distances</t>
  </si>
  <si>
    <t>Total cost of travel for long-term impacted individuals</t>
  </si>
  <si>
    <t>Total out of pocket spending for long-term impacted individuals</t>
  </si>
  <si>
    <t>Total cost of physiological problems for long-term impacted individuals</t>
  </si>
  <si>
    <t xml:space="preserve">Total Cost of Physiological Sessions = Number of individuals likely to be impacted x percentage of impacted individuals likely to seek physiological sessions x cost of physiological sessions attended  </t>
  </si>
  <si>
    <t xml:space="preserve">Total Cost of Isolation = Number of individuals likely to be impacted x percentage of impacted individuals likely to suffer from isolation x cost of isolation </t>
  </si>
  <si>
    <t xml:space="preserve">Number of people impacted per missing persons (primary &amp; secondary boundary) </t>
  </si>
  <si>
    <t xml:space="preserve">Total cost of isolation (all long-term impacted individuals) </t>
  </si>
  <si>
    <t xml:space="preserve">Total Cost of a Disrupted Sleep Routine = Number of individuals likely to be impacted x percentage of impacted individuals likely to suffer from disrupted sleep x cost of sleep deprivation </t>
  </si>
  <si>
    <t>Total cost of sleep deprivation (long-term impacted individuals)</t>
  </si>
  <si>
    <t>Total cost of psychological problems for long-term impacted individuals</t>
  </si>
  <si>
    <t xml:space="preserve">Total Realised Loss of Financial Earnings = Number of individuals likely to be impacted x percentage of impacted individuals likely to stop working x dollar value of wages forgone </t>
  </si>
  <si>
    <t>Population of long term missing</t>
  </si>
  <si>
    <t>Total amount of income lost or forgone for long-term impacted individuals</t>
  </si>
  <si>
    <t>Average cost to one impacted person</t>
  </si>
  <si>
    <t xml:space="preserve">Total cost to one long-term affected persons who is impacted by every factor </t>
  </si>
  <si>
    <t>Total costs to all impacted persons</t>
  </si>
  <si>
    <t>Customisable model</t>
  </si>
  <si>
    <t>Input data for breakdown of economic costs sheet</t>
  </si>
  <si>
    <t>Cost of a legal professional</t>
  </si>
  <si>
    <t xml:space="preserve">Total number of missing persons cases annually </t>
  </si>
  <si>
    <r>
      <t xml:space="preserve">The 'Dashboard' tab displays the overall impacts of missingness through a combination of graphical and tabular representations.
Within the tab, users may change between the different 'case' scenarios. The 'low' case will correspond to the lowest costs 180DC estimates missingness to create. The 'medium' case will represent 180DC's modelling of the most realistic economic impact of missingness. Finally, the 'high' case represents the most substantive economic impact missingness may create.
</t>
    </r>
    <r>
      <rPr>
        <b/>
        <sz val="10"/>
        <color theme="1" tint="0.14999847407452621"/>
        <rFont val="Arial"/>
        <family val="2"/>
      </rPr>
      <t xml:space="preserve">Important: </t>
    </r>
    <r>
      <rPr>
        <sz val="10"/>
        <color theme="1" tint="0.14999847407452621"/>
        <rFont val="Arial"/>
        <family val="2"/>
      </rPr>
      <t xml:space="preserve">When using the model, please refrain from modifying any content within the 'Breakdown of Economic Costs' and 'Data' tabs. As stated above, the model may be customised within the 'Dashboard' tab only. </t>
    </r>
  </si>
  <si>
    <r>
      <t xml:space="preserve">The 'Customisable Model' tab allows users to input their own numbers. We have incorporated this feature in the hopes of allowing users to keep the financial data up to date in another model. 
As a result, users will be able to compare their own inputs against 180DC's estimation.
</t>
    </r>
    <r>
      <rPr>
        <b/>
        <sz val="10"/>
        <color theme="1" tint="0.14999847407452621"/>
        <rFont val="Arial"/>
        <family val="2"/>
      </rPr>
      <t>Important:</t>
    </r>
    <r>
      <rPr>
        <sz val="10"/>
        <color theme="1" tint="0.14999847407452621"/>
        <rFont val="Arial"/>
        <family val="2"/>
      </rPr>
      <t xml:space="preserve"> Do not modify or insert values into the bolded rows.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</si>
</sst>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Red]\-&quot;$&quot;#,##0"/>
    <numFmt numFmtId="165" formatCode="&quot;$&quot;#,##0"/>
    <numFmt numFmtId="166" formatCode="&quot;$&quot;#,##0.00"/>
    <numFmt numFmtId="167" formatCode="#,##0.0"/>
  </numFmts>
  <fonts count="36" x14ac:knownFonts="1">
    <font>
      <sz val="10"/>
      <color rgb="FF000000"/>
      <name val="Arial"/>
    </font>
    <font>
      <b/>
      <sz val="10"/>
      <color rgb="FFFFFFFF"/>
      <name val="Arial"/>
      <family val="2"/>
    </font>
    <font>
      <sz val="10"/>
      <color theme="1"/>
      <name val="Arial"/>
      <family val="2"/>
    </font>
    <font>
      <sz val="10"/>
      <color rgb="FFFFFFFF"/>
      <name val="Arial"/>
      <family val="2"/>
    </font>
    <font>
      <sz val="10"/>
      <name val="Arial"/>
      <family val="2"/>
    </font>
    <font>
      <u/>
      <sz val="10"/>
      <color rgb="FF0000FF"/>
      <name val="Arial"/>
      <family val="2"/>
    </font>
    <font>
      <b/>
      <sz val="10"/>
      <color theme="1"/>
      <name val="Arial"/>
      <family val="2"/>
    </font>
    <font>
      <b/>
      <i/>
      <sz val="10"/>
      <color rgb="FF000000"/>
      <name val="Arial"/>
      <family val="2"/>
    </font>
    <font>
      <sz val="10"/>
      <color rgb="FF434343"/>
      <name val="Arial"/>
      <family val="2"/>
    </font>
    <font>
      <sz val="10"/>
      <color rgb="FF0000FF"/>
      <name val="Arial"/>
      <family val="2"/>
    </font>
    <font>
      <sz val="10"/>
      <color rgb="FF000000"/>
      <name val="Arial"/>
      <family val="2"/>
    </font>
    <font>
      <b/>
      <sz val="10"/>
      <color rgb="FF000000"/>
      <name val="Arial"/>
      <family val="2"/>
    </font>
    <font>
      <b/>
      <i/>
      <sz val="10"/>
      <color theme="1"/>
      <name val="Arial"/>
      <family val="2"/>
    </font>
    <font>
      <sz val="10"/>
      <color rgb="FF45818E"/>
      <name val="Arial"/>
      <family val="2"/>
    </font>
    <font>
      <sz val="10"/>
      <color rgb="FF6AA84F"/>
      <name val="Arial"/>
      <family val="2"/>
    </font>
    <font>
      <sz val="10"/>
      <color rgb="FFB7B7B7"/>
      <name val="Arial"/>
      <family val="2"/>
    </font>
    <font>
      <b/>
      <u/>
      <sz val="10"/>
      <color rgb="FF000000"/>
      <name val="Arial"/>
      <family val="2"/>
    </font>
    <font>
      <b/>
      <u/>
      <sz val="10"/>
      <color theme="1"/>
      <name val="Arial"/>
      <family val="2"/>
    </font>
    <font>
      <b/>
      <i/>
      <sz val="10"/>
      <color rgb="FFB7B7B7"/>
      <name val="Arial"/>
      <family val="2"/>
    </font>
    <font>
      <sz val="10"/>
      <color rgb="FFEA4335"/>
      <name val="Arial"/>
      <family val="2"/>
    </font>
    <font>
      <b/>
      <u/>
      <sz val="10"/>
      <color rgb="FFFFFFFF"/>
      <name val="Arial"/>
      <family val="2"/>
    </font>
    <font>
      <b/>
      <sz val="10"/>
      <color theme="0"/>
      <name val="Arial"/>
      <family val="2"/>
    </font>
    <font>
      <sz val="10"/>
      <color theme="7" tint="-0.249977111117893"/>
      <name val="Arial"/>
      <family val="2"/>
    </font>
    <font>
      <b/>
      <sz val="10"/>
      <name val="Arial"/>
      <family val="2"/>
    </font>
    <font>
      <i/>
      <sz val="10"/>
      <color rgb="FF000000"/>
      <name val="Arial"/>
      <family val="2"/>
    </font>
    <font>
      <b/>
      <i/>
      <sz val="10"/>
      <color rgb="FF434343"/>
      <name val="Arial"/>
      <family val="2"/>
    </font>
    <font>
      <b/>
      <sz val="10"/>
      <color rgb="FF000000"/>
      <name val="Arial"/>
    </font>
    <font>
      <sz val="10"/>
      <color theme="1" tint="0.249977111117893"/>
      <name val="Arial"/>
      <family val="2"/>
    </font>
    <font>
      <u/>
      <sz val="10"/>
      <color theme="10"/>
      <name val="Arial"/>
    </font>
    <font>
      <sz val="10"/>
      <color rgb="FF4472C4"/>
      <name val="Arial"/>
      <family val="2"/>
    </font>
    <font>
      <sz val="10"/>
      <color rgb="FF4472C4"/>
      <name val="Arial"/>
    </font>
    <font>
      <sz val="10"/>
      <color rgb="FF000000"/>
      <name val="Arial"/>
    </font>
    <font>
      <sz val="10"/>
      <color rgb="FF397E63"/>
      <name val="Arial"/>
      <family val="2"/>
    </font>
    <font>
      <b/>
      <sz val="10"/>
      <color rgb="FF434343"/>
      <name val="Arial"/>
      <family val="2"/>
    </font>
    <font>
      <sz val="10"/>
      <color theme="1" tint="0.14999847407452621"/>
      <name val="Arial"/>
      <family val="2"/>
    </font>
    <font>
      <b/>
      <sz val="10"/>
      <color theme="1" tint="0.14999847407452621"/>
      <name val="Arial"/>
      <family val="2"/>
    </font>
  </fonts>
  <fills count="28">
    <fill>
      <patternFill patternType="none"/>
    </fill>
    <fill>
      <patternFill patternType="gray125"/>
    </fill>
    <fill>
      <patternFill patternType="solid">
        <fgColor rgb="FF385B4E"/>
        <bgColor rgb="FF385B4E"/>
      </patternFill>
    </fill>
    <fill>
      <patternFill patternType="solid">
        <fgColor rgb="FF397E63"/>
        <bgColor rgb="FF397E63"/>
      </patternFill>
    </fill>
    <fill>
      <patternFill patternType="solid">
        <fgColor rgb="FFF1F1F0"/>
        <bgColor rgb="FFF1F1F0"/>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E2EFDA"/>
        <bgColor indexed="64"/>
      </patternFill>
    </fill>
    <fill>
      <patternFill patternType="solid">
        <fgColor rgb="FFFFFFFF"/>
        <bgColor indexed="64"/>
      </patternFill>
    </fill>
    <fill>
      <patternFill patternType="solid">
        <fgColor rgb="FFF2F2F2"/>
        <bgColor indexed="64"/>
      </patternFill>
    </fill>
    <fill>
      <patternFill patternType="solid">
        <fgColor theme="0"/>
        <bgColor indexed="64"/>
      </patternFill>
    </fill>
    <fill>
      <patternFill patternType="solid">
        <fgColor theme="0"/>
        <bgColor rgb="FFEFEFEF"/>
      </patternFill>
    </fill>
    <fill>
      <patternFill patternType="solid">
        <fgColor theme="0"/>
        <bgColor rgb="FFFFFFFF"/>
      </patternFill>
    </fill>
    <fill>
      <patternFill patternType="solid">
        <fgColor theme="0"/>
        <bgColor rgb="FF397E63"/>
      </patternFill>
    </fill>
    <fill>
      <patternFill patternType="solid">
        <fgColor theme="0" tint="-4.9989318521683403E-2"/>
        <bgColor rgb="FF397E63"/>
      </patternFill>
    </fill>
    <fill>
      <patternFill patternType="solid">
        <fgColor theme="0" tint="-4.9989318521683403E-2"/>
        <bgColor indexed="64"/>
      </patternFill>
    </fill>
    <fill>
      <patternFill patternType="solid">
        <fgColor theme="0" tint="-4.9989318521683403E-2"/>
        <bgColor rgb="FFEFEFEF"/>
      </patternFill>
    </fill>
    <fill>
      <patternFill patternType="solid">
        <fgColor theme="0"/>
        <bgColor rgb="FFF1F1F0"/>
      </patternFill>
    </fill>
    <fill>
      <patternFill patternType="solid">
        <fgColor rgb="FF385B4E"/>
        <bgColor indexed="64"/>
      </patternFill>
    </fill>
    <fill>
      <patternFill patternType="solid">
        <fgColor rgb="FF397E63"/>
        <bgColor indexed="64"/>
      </patternFill>
    </fill>
    <fill>
      <patternFill patternType="solid">
        <fgColor rgb="FFDAEBD3"/>
        <bgColor rgb="FFD9EAD3"/>
      </patternFill>
    </fill>
    <fill>
      <patternFill patternType="solid">
        <fgColor rgb="FFDAEBD3"/>
        <bgColor indexed="64"/>
      </patternFill>
    </fill>
    <fill>
      <patternFill patternType="solid">
        <fgColor rgb="FFA9D08E"/>
        <bgColor indexed="64"/>
      </patternFill>
    </fill>
    <fill>
      <patternFill patternType="solid">
        <fgColor rgb="FFA9D08E"/>
        <bgColor rgb="FF397E63"/>
      </patternFill>
    </fill>
    <fill>
      <patternFill patternType="solid">
        <fgColor rgb="FFF0EFF0"/>
        <bgColor rgb="FFEFEFEF"/>
      </patternFill>
    </fill>
    <fill>
      <patternFill patternType="solid">
        <fgColor rgb="FFF0EFF0"/>
        <bgColor rgb="FF397E63"/>
      </patternFill>
    </fill>
    <fill>
      <patternFill patternType="solid">
        <fgColor rgb="FFF0EFF0"/>
        <bgColor indexed="64"/>
      </patternFill>
    </fill>
  </fills>
  <borders count="79">
    <border>
      <left/>
      <right/>
      <top/>
      <bottom/>
      <diagonal/>
    </border>
    <border>
      <left style="thin">
        <color rgb="FF397E63"/>
      </left>
      <right/>
      <top style="thin">
        <color rgb="FF397E63"/>
      </top>
      <bottom style="thin">
        <color rgb="FF397E63"/>
      </bottom>
      <diagonal/>
    </border>
    <border>
      <left/>
      <right style="thin">
        <color rgb="FF397E63"/>
      </right>
      <top style="thin">
        <color rgb="FF397E63"/>
      </top>
      <bottom style="thin">
        <color rgb="FF397E63"/>
      </bottom>
      <diagonal/>
    </border>
    <border>
      <left/>
      <right/>
      <top style="thin">
        <color rgb="FF397E63"/>
      </top>
      <bottom style="thin">
        <color rgb="FF397E63"/>
      </bottom>
      <diagonal/>
    </border>
    <border>
      <left/>
      <right/>
      <top/>
      <bottom style="thin">
        <color rgb="FFCCCCCC"/>
      </bottom>
      <diagonal/>
    </border>
    <border>
      <left/>
      <right style="thin">
        <color rgb="FFCCCCCC"/>
      </right>
      <top/>
      <bottom style="thin">
        <color rgb="FFCCCCCC"/>
      </bottom>
      <diagonal/>
    </border>
    <border>
      <left style="thin">
        <color rgb="FF397E63"/>
      </left>
      <right/>
      <top/>
      <bottom style="thin">
        <color rgb="FFCCCCCC"/>
      </bottom>
      <diagonal/>
    </border>
    <border>
      <left/>
      <right style="thin">
        <color rgb="FF397E63"/>
      </right>
      <top/>
      <bottom style="thin">
        <color rgb="FFCCCCCC"/>
      </bottom>
      <diagonal/>
    </border>
    <border>
      <left style="thin">
        <color rgb="FFCCCCCC"/>
      </left>
      <right/>
      <top/>
      <bottom style="thin">
        <color rgb="FFCCCCCC"/>
      </bottom>
      <diagonal/>
    </border>
    <border>
      <left style="thin">
        <color rgb="FFCCCCCC"/>
      </left>
      <right/>
      <top style="thin">
        <color rgb="FFCCCCCC"/>
      </top>
      <bottom style="thin">
        <color rgb="FFCCCCCC"/>
      </bottom>
      <diagonal/>
    </border>
    <border>
      <left/>
      <right style="thin">
        <color rgb="FFCCCCCC"/>
      </right>
      <top style="thin">
        <color rgb="FFCCCCCC"/>
      </top>
      <bottom style="thin">
        <color rgb="FFCCCCCC"/>
      </bottom>
      <diagonal/>
    </border>
    <border>
      <left/>
      <right style="thin">
        <color rgb="FF397E63"/>
      </right>
      <top/>
      <bottom/>
      <diagonal/>
    </border>
    <border>
      <left/>
      <right style="thin">
        <color rgb="FFCCCCCC"/>
      </right>
      <top/>
      <bottom/>
      <diagonal/>
    </border>
    <border>
      <left/>
      <right style="thin">
        <color rgb="FFD9D9D9"/>
      </right>
      <top style="thin">
        <color rgb="FFD9D9D9"/>
      </top>
      <bottom style="thin">
        <color rgb="FFD9D9D9"/>
      </bottom>
      <diagonal/>
    </border>
    <border>
      <left/>
      <right/>
      <top/>
      <bottom style="thin">
        <color rgb="FF397E63"/>
      </bottom>
      <diagonal/>
    </border>
    <border>
      <left/>
      <right/>
      <top/>
      <bottom/>
      <diagonal/>
    </border>
    <border>
      <left/>
      <right/>
      <top/>
      <bottom style="medium">
        <color rgb="FF434343"/>
      </bottom>
      <diagonal/>
    </border>
    <border>
      <left style="thin">
        <color rgb="FF397E63"/>
      </left>
      <right/>
      <top style="thin">
        <color rgb="FF397E63"/>
      </top>
      <bottom/>
      <diagonal/>
    </border>
    <border>
      <left/>
      <right/>
      <top style="thin">
        <color rgb="FF397E63"/>
      </top>
      <bottom/>
      <diagonal/>
    </border>
    <border>
      <left/>
      <right style="thin">
        <color rgb="FF397E63"/>
      </right>
      <top style="thin">
        <color rgb="FF397E63"/>
      </top>
      <bottom/>
      <diagonal/>
    </border>
    <border>
      <left/>
      <right/>
      <top style="thin">
        <color rgb="FFCCCCCC"/>
      </top>
      <bottom style="thin">
        <color rgb="FFCCCCCC"/>
      </bottom>
      <diagonal/>
    </border>
    <border>
      <left style="thin">
        <color rgb="FFCCCCCC"/>
      </left>
      <right/>
      <top style="thin">
        <color rgb="FFCCCCCC"/>
      </top>
      <bottom/>
      <diagonal/>
    </border>
    <border>
      <left/>
      <right style="thin">
        <color rgb="FFCCCCCC"/>
      </right>
      <top style="thin">
        <color rgb="FFCCCCCC"/>
      </top>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rgb="FFCCCCCC"/>
      </top>
      <bottom/>
      <diagonal/>
    </border>
    <border>
      <left style="thin">
        <color rgb="FFD9D9D9"/>
      </left>
      <right/>
      <top style="thin">
        <color rgb="FFD9D9D9"/>
      </top>
      <bottom style="thin">
        <color rgb="FFD9D9D9"/>
      </bottom>
      <diagonal/>
    </border>
    <border>
      <left style="thin">
        <color rgb="FFCCCCCC"/>
      </left>
      <right/>
      <top style="medium">
        <color rgb="FF434343"/>
      </top>
      <bottom style="double">
        <color rgb="FF434343"/>
      </bottom>
      <diagonal/>
    </border>
    <border>
      <left/>
      <right style="thin">
        <color rgb="FFCCCCCC"/>
      </right>
      <top style="medium">
        <color rgb="FF434343"/>
      </top>
      <bottom style="double">
        <color rgb="FF434343"/>
      </bottom>
      <diagonal/>
    </border>
    <border>
      <left style="thin">
        <color rgb="FFCCCCCC"/>
      </left>
      <right style="thin">
        <color rgb="FFCCCCCC"/>
      </right>
      <top style="medium">
        <color rgb="FF434343"/>
      </top>
      <bottom style="double">
        <color rgb="FF434343"/>
      </bottom>
      <diagonal/>
    </border>
    <border>
      <left style="thin">
        <color rgb="FFD9D9D9"/>
      </left>
      <right/>
      <top style="thin">
        <color rgb="FFD9D9D9"/>
      </top>
      <bottom/>
      <diagonal/>
    </border>
    <border>
      <left/>
      <right style="thin">
        <color rgb="FFD9D9D9"/>
      </right>
      <top style="thin">
        <color rgb="FFD9D9D9"/>
      </top>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
      <left style="thin">
        <color rgb="FFCCCCCC"/>
      </left>
      <right/>
      <top/>
      <bottom/>
      <diagonal/>
    </border>
    <border>
      <left style="thin">
        <color rgb="FF397E63"/>
      </left>
      <right/>
      <top/>
      <bottom/>
      <diagonal/>
    </border>
    <border>
      <left/>
      <right/>
      <top/>
      <bottom style="thin">
        <color rgb="FFD9D9D9"/>
      </bottom>
      <diagonal/>
    </border>
    <border>
      <left style="thin">
        <color rgb="FFCCCCCC"/>
      </left>
      <right/>
      <top style="thin">
        <color rgb="FFCCCCCC"/>
      </top>
      <bottom style="thin">
        <color theme="0" tint="-0.14999847407452621"/>
      </bottom>
      <diagonal/>
    </border>
    <border>
      <left/>
      <right/>
      <top style="thin">
        <color rgb="FFBAF7A1"/>
      </top>
      <bottom/>
      <diagonal/>
    </border>
    <border>
      <left style="thin">
        <color rgb="FFCCCCCC"/>
      </left>
      <right style="thin">
        <color rgb="FFCCCCCC"/>
      </right>
      <top/>
      <bottom/>
      <diagonal/>
    </border>
    <border>
      <left style="thin">
        <color rgb="FFD9D9D9"/>
      </left>
      <right/>
      <top style="thin">
        <color rgb="FFBFBFBF"/>
      </top>
      <bottom style="thin">
        <color rgb="FFBFBFBF"/>
      </bottom>
      <diagonal/>
    </border>
    <border>
      <left/>
      <right style="thin">
        <color rgb="FFD9D9D9"/>
      </right>
      <top style="thin">
        <color rgb="FFBFBFBF"/>
      </top>
      <bottom style="thin">
        <color rgb="FFBFBFBF"/>
      </bottom>
      <diagonal/>
    </border>
    <border>
      <left style="thin">
        <color rgb="FFD9D9D9"/>
      </left>
      <right style="thin">
        <color rgb="FFD9D9D9"/>
      </right>
      <top style="thin">
        <color rgb="FFBFBFBF"/>
      </top>
      <bottom style="thin">
        <color rgb="FFBFBFBF"/>
      </bottom>
      <diagonal/>
    </border>
    <border>
      <left/>
      <right/>
      <top style="thin">
        <color rgb="FF000000"/>
      </top>
      <bottom style="double">
        <color rgb="FF666666"/>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397E63"/>
      </left>
      <right style="thin">
        <color rgb="FF397E63"/>
      </right>
      <top style="thin">
        <color rgb="FF397E63"/>
      </top>
      <bottom style="thin">
        <color rgb="FF397E63"/>
      </bottom>
      <diagonal/>
    </border>
    <border>
      <left style="thin">
        <color theme="0" tint="-0.249977111117893"/>
      </left>
      <right style="thin">
        <color theme="0" tint="-0.249977111117893"/>
      </right>
      <top style="thin">
        <color theme="0" tint="-0.249977111117893"/>
      </top>
      <bottom style="thin">
        <color rgb="FF000000"/>
      </bottom>
      <diagonal/>
    </border>
    <border>
      <left style="thin">
        <color theme="0" tint="-0.249977111117893"/>
      </left>
      <right style="thin">
        <color rgb="FF000000"/>
      </right>
      <top/>
      <bottom style="thin">
        <color theme="0" tint="-0.249977111117893"/>
      </bottom>
      <diagonal/>
    </border>
    <border>
      <left style="thin">
        <color rgb="FF000000"/>
      </left>
      <right style="thin">
        <color rgb="FF000000"/>
      </right>
      <top/>
      <bottom style="thin">
        <color theme="0" tint="-0.249977111117893"/>
      </bottom>
      <diagonal/>
    </border>
    <border>
      <left style="thin">
        <color rgb="FF000000"/>
      </left>
      <right style="thin">
        <color theme="0" tint="-0.249977111117893"/>
      </right>
      <top/>
      <bottom style="thin">
        <color theme="0" tint="-0.249977111117893"/>
      </bottom>
      <diagonal/>
    </border>
    <border>
      <left style="thin">
        <color indexed="64"/>
      </left>
      <right/>
      <top style="thin">
        <color rgb="FF397E63"/>
      </top>
      <bottom style="thin">
        <color rgb="FF397E63"/>
      </bottom>
      <diagonal/>
    </border>
    <border>
      <left style="thin">
        <color indexed="64"/>
      </left>
      <right style="thin">
        <color rgb="FF397E63"/>
      </right>
      <top style="thin">
        <color rgb="FF397E63"/>
      </top>
      <bottom style="thin">
        <color rgb="FF397E63"/>
      </bottom>
      <diagonal/>
    </border>
    <border>
      <left/>
      <right/>
      <top style="thin">
        <color theme="1" tint="0.14999847407452621"/>
      </top>
      <bottom style="medium">
        <color theme="1" tint="0.14999847407452621"/>
      </bottom>
      <diagonal/>
    </border>
    <border>
      <left style="thin">
        <color rgb="FFD9D9D9"/>
      </left>
      <right style="thin">
        <color rgb="FFD9D9D9"/>
      </right>
      <top style="medium">
        <color theme="1" tint="0.14999847407452621"/>
      </top>
      <bottom style="double">
        <color indexed="64"/>
      </bottom>
      <diagonal/>
    </border>
    <border>
      <left style="thin">
        <color rgb="FFD9D9D9"/>
      </left>
      <right/>
      <top/>
      <bottom/>
      <diagonal/>
    </border>
    <border>
      <left/>
      <right style="thin">
        <color rgb="FFD9D9D9"/>
      </right>
      <top/>
      <bottom/>
      <diagonal/>
    </border>
    <border>
      <left style="thin">
        <color rgb="FFD9D9D9"/>
      </left>
      <right style="thin">
        <color rgb="FFD9D9D9"/>
      </right>
      <top/>
      <bottom/>
      <diagonal/>
    </border>
    <border>
      <left style="thin">
        <color rgb="FFD9D9D9"/>
      </left>
      <right/>
      <top style="medium">
        <color theme="1" tint="0.14999847407452621"/>
      </top>
      <bottom style="double">
        <color indexed="64"/>
      </bottom>
      <diagonal/>
    </border>
    <border>
      <left/>
      <right style="thin">
        <color rgb="FFD9D9D9"/>
      </right>
      <top style="medium">
        <color theme="1" tint="0.14999847407452621"/>
      </top>
      <bottom style="double">
        <color indexed="64"/>
      </bottom>
      <diagonal/>
    </border>
    <border>
      <left style="thin">
        <color rgb="FFCCCCCC"/>
      </left>
      <right/>
      <top style="medium">
        <color rgb="FF434343"/>
      </top>
      <bottom style="double">
        <color theme="1" tint="0.14999847407452621"/>
      </bottom>
      <diagonal/>
    </border>
    <border>
      <left/>
      <right style="thin">
        <color rgb="FFCCCCCC"/>
      </right>
      <top style="medium">
        <color rgb="FF434343"/>
      </top>
      <bottom style="double">
        <color theme="1" tint="0.14999847407452621"/>
      </bottom>
      <diagonal/>
    </border>
    <border>
      <left style="thin">
        <color theme="0" tint="-0.249977111117893"/>
      </left>
      <right/>
      <top style="thin">
        <color theme="1" tint="0.14999847407452621"/>
      </top>
      <bottom style="medium">
        <color theme="1" tint="0.14999847407452621"/>
      </bottom>
      <diagonal/>
    </border>
    <border>
      <left/>
      <right style="thin">
        <color theme="0" tint="-0.249977111117893"/>
      </right>
      <top style="thin">
        <color theme="1" tint="0.14999847407452621"/>
      </top>
      <bottom style="medium">
        <color theme="1" tint="0.14999847407452621"/>
      </bottom>
      <diagonal/>
    </border>
    <border>
      <left/>
      <right style="thin">
        <color theme="0" tint="-0.249977111117893"/>
      </right>
      <top style="thin">
        <color theme="0" tint="-0.249977111117893"/>
      </top>
      <bottom style="thin">
        <color rgb="FF000000"/>
      </bottom>
      <diagonal/>
    </border>
    <border>
      <left/>
      <right style="thin">
        <color theme="0"/>
      </right>
      <top style="thin">
        <color rgb="FF000000"/>
      </top>
      <bottom style="double">
        <color rgb="FF595959"/>
      </bottom>
      <diagonal/>
    </border>
    <border>
      <left style="thin">
        <color rgb="FFFFFFFF"/>
      </left>
      <right style="thin">
        <color rgb="FFFFFFFF"/>
      </right>
      <top style="thin">
        <color theme="1"/>
      </top>
      <bottom style="double">
        <color rgb="FF000000"/>
      </bottom>
      <diagonal/>
    </border>
    <border>
      <left style="thin">
        <color theme="0" tint="-0.249977111117893"/>
      </left>
      <right style="thin">
        <color theme="0" tint="-0.249977111117893"/>
      </right>
      <top style="thin">
        <color theme="0" tint="-0.249977111117893"/>
      </top>
      <bottom/>
      <diagonal/>
    </border>
    <border>
      <left/>
      <right/>
      <top style="thin">
        <color theme="1"/>
      </top>
      <bottom style="double">
        <color rgb="FF000000"/>
      </bottom>
      <diagonal/>
    </border>
    <border>
      <left style="thin">
        <color theme="0" tint="-0.249977111117893"/>
      </left>
      <right/>
      <top style="thin">
        <color rgb="FF000000"/>
      </top>
      <bottom style="double">
        <color rgb="FF595959"/>
      </bottom>
      <diagonal/>
    </border>
    <border>
      <left/>
      <right style="thin">
        <color theme="0" tint="-0.249977111117893"/>
      </right>
      <top style="thin">
        <color rgb="FF000000"/>
      </top>
      <bottom style="double">
        <color rgb="FF666666"/>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style="thin">
        <color theme="1"/>
      </top>
      <bottom style="double">
        <color rgb="FF000000"/>
      </bottom>
      <diagonal/>
    </border>
    <border>
      <left/>
      <right style="thin">
        <color theme="0" tint="-0.249977111117893"/>
      </right>
      <top style="thin">
        <color theme="1"/>
      </top>
      <bottom style="double">
        <color rgb="FF000000"/>
      </bottom>
      <diagonal/>
    </border>
    <border>
      <left style="thin">
        <color theme="0" tint="-0.249977111117893"/>
      </left>
      <right style="thin">
        <color rgb="FFFFFFFF"/>
      </right>
      <top style="thin">
        <color theme="1"/>
      </top>
      <bottom style="double">
        <color rgb="FF000000"/>
      </bottom>
      <diagonal/>
    </border>
    <border>
      <left style="thin">
        <color rgb="FFFFFFFF"/>
      </left>
      <right style="thin">
        <color theme="0" tint="-0.249977111117893"/>
      </right>
      <top style="thin">
        <color theme="1"/>
      </top>
      <bottom style="double">
        <color rgb="FF000000"/>
      </bottom>
      <diagonal/>
    </border>
    <border>
      <left style="thin">
        <color theme="0" tint="-0.249977111117893"/>
      </left>
      <right style="thin">
        <color rgb="FFFFFFFF"/>
      </right>
      <top style="thin">
        <color theme="1"/>
      </top>
      <bottom style="thin">
        <color theme="0" tint="-0.249977111117893"/>
      </bottom>
      <diagonal/>
    </border>
    <border>
      <left style="thin">
        <color rgb="FFFFFFFF"/>
      </left>
      <right style="thin">
        <color rgb="FFFFFFFF"/>
      </right>
      <top style="thin">
        <color theme="1"/>
      </top>
      <bottom style="thin">
        <color theme="0" tint="-0.249977111117893"/>
      </bottom>
      <diagonal/>
    </border>
    <border>
      <left style="thin">
        <color rgb="FFFFFFFF"/>
      </left>
      <right style="thin">
        <color theme="0" tint="-0.249977111117893"/>
      </right>
      <top style="thin">
        <color theme="1"/>
      </top>
      <bottom style="thin">
        <color theme="0" tint="-0.249977111117893"/>
      </bottom>
      <diagonal/>
    </border>
  </borders>
  <cellStyleXfs count="3">
    <xf numFmtId="0" fontId="0" fillId="0" borderId="0"/>
    <xf numFmtId="0" fontId="28" fillId="0" borderId="0" applyNumberFormat="0" applyFill="0" applyBorder="0" applyAlignment="0" applyProtection="0"/>
    <xf numFmtId="9" fontId="31" fillId="0" borderId="0" applyFont="0" applyFill="0" applyBorder="0" applyAlignment="0" applyProtection="0"/>
  </cellStyleXfs>
  <cellXfs count="486">
    <xf numFmtId="0" fontId="0" fillId="0" borderId="0" xfId="0" applyFont="1" applyAlignment="1"/>
    <xf numFmtId="0" fontId="1" fillId="2" borderId="0" xfId="0" applyFont="1" applyFill="1" applyAlignment="1"/>
    <xf numFmtId="0" fontId="2" fillId="2" borderId="0" xfId="0" applyFont="1" applyFill="1" applyAlignment="1"/>
    <xf numFmtId="0" fontId="3" fillId="2" borderId="0" xfId="0" applyFont="1" applyFill="1" applyAlignment="1"/>
    <xf numFmtId="0" fontId="5" fillId="0" borderId="0" xfId="0" applyFont="1" applyAlignment="1"/>
    <xf numFmtId="0" fontId="2" fillId="0" borderId="0" xfId="0" applyFont="1" applyAlignment="1">
      <alignment wrapText="1"/>
    </xf>
    <xf numFmtId="0" fontId="6" fillId="0" borderId="0" xfId="0" applyFont="1" applyAlignment="1"/>
    <xf numFmtId="0" fontId="6" fillId="4" borderId="0" xfId="0" applyFont="1" applyFill="1" applyAlignment="1"/>
    <xf numFmtId="0" fontId="2" fillId="4" borderId="0" xfId="0" applyFont="1" applyFill="1"/>
    <xf numFmtId="3" fontId="2" fillId="0" borderId="5" xfId="0" applyNumberFormat="1" applyFont="1" applyBorder="1" applyAlignment="1">
      <alignment horizontal="right" wrapText="1"/>
    </xf>
    <xf numFmtId="0" fontId="0" fillId="0" borderId="0" xfId="0" applyFont="1"/>
    <xf numFmtId="0" fontId="10" fillId="0" borderId="0" xfId="0" applyFont="1"/>
    <xf numFmtId="0" fontId="2" fillId="4" borderId="11" xfId="0" applyFont="1" applyFill="1" applyBorder="1" applyAlignment="1"/>
    <xf numFmtId="0" fontId="2" fillId="4" borderId="12" xfId="0" applyFont="1" applyFill="1" applyBorder="1" applyAlignment="1"/>
    <xf numFmtId="0" fontId="2" fillId="4" borderId="0" xfId="0" applyFont="1" applyFill="1" applyAlignment="1"/>
    <xf numFmtId="0" fontId="2" fillId="4" borderId="14" xfId="0" applyFont="1" applyFill="1" applyBorder="1" applyAlignment="1"/>
    <xf numFmtId="0" fontId="1" fillId="3" borderId="15" xfId="0" applyFont="1" applyFill="1" applyBorder="1" applyAlignment="1"/>
    <xf numFmtId="0" fontId="2" fillId="3" borderId="15" xfId="0" applyFont="1" applyFill="1" applyBorder="1" applyAlignment="1"/>
    <xf numFmtId="0" fontId="2" fillId="3" borderId="11" xfId="0" applyFont="1" applyFill="1" applyBorder="1" applyAlignment="1"/>
    <xf numFmtId="0" fontId="2" fillId="4" borderId="16" xfId="0" applyFont="1" applyFill="1" applyBorder="1" applyAlignment="1"/>
    <xf numFmtId="165" fontId="2" fillId="0" borderId="0" xfId="0" applyNumberFormat="1" applyFont="1" applyAlignment="1"/>
    <xf numFmtId="3" fontId="2" fillId="0" borderId="23" xfId="0" applyNumberFormat="1" applyFont="1" applyBorder="1" applyAlignment="1">
      <alignment wrapText="1"/>
    </xf>
    <xf numFmtId="0" fontId="1" fillId="3" borderId="18" xfId="0" applyFont="1" applyFill="1" applyBorder="1" applyAlignment="1">
      <alignment wrapText="1"/>
    </xf>
    <xf numFmtId="0" fontId="1" fillId="3" borderId="19" xfId="0" applyFont="1" applyFill="1" applyBorder="1" applyAlignment="1">
      <alignment wrapText="1"/>
    </xf>
    <xf numFmtId="3" fontId="2" fillId="0" borderId="5" xfId="0" applyNumberFormat="1" applyFont="1" applyBorder="1" applyAlignment="1">
      <alignment wrapText="1"/>
    </xf>
    <xf numFmtId="0" fontId="8" fillId="0" borderId="13" xfId="0" applyFont="1" applyBorder="1" applyAlignment="1">
      <alignment wrapText="1"/>
    </xf>
    <xf numFmtId="4" fontId="2" fillId="0" borderId="23" xfId="0" applyNumberFormat="1" applyFont="1" applyBorder="1" applyAlignment="1">
      <alignment wrapText="1"/>
    </xf>
    <xf numFmtId="0" fontId="2" fillId="0" borderId="0" xfId="0" applyFont="1"/>
    <xf numFmtId="4" fontId="2" fillId="0" borderId="24" xfId="0" applyNumberFormat="1" applyFont="1" applyBorder="1" applyAlignment="1">
      <alignment wrapText="1"/>
    </xf>
    <xf numFmtId="0" fontId="8" fillId="7" borderId="0" xfId="0" applyFont="1" applyFill="1" applyAlignment="1">
      <alignment wrapText="1"/>
    </xf>
    <xf numFmtId="0" fontId="2" fillId="0" borderId="0" xfId="0" applyFont="1" applyAlignment="1"/>
    <xf numFmtId="165" fontId="4" fillId="0" borderId="0" xfId="0" applyNumberFormat="1" applyFont="1" applyAlignment="1"/>
    <xf numFmtId="0" fontId="2" fillId="6" borderId="0" xfId="0" applyFont="1" applyFill="1"/>
    <xf numFmtId="4" fontId="2" fillId="0" borderId="0" xfId="0" applyNumberFormat="1" applyFont="1" applyAlignment="1"/>
    <xf numFmtId="0" fontId="2" fillId="6" borderId="0" xfId="0" applyFont="1" applyFill="1" applyAlignment="1"/>
    <xf numFmtId="0" fontId="2" fillId="7" borderId="0" xfId="0" applyFont="1" applyFill="1"/>
    <xf numFmtId="0" fontId="19" fillId="6" borderId="0" xfId="0" applyFont="1" applyFill="1" applyAlignment="1"/>
    <xf numFmtId="0" fontId="1" fillId="3" borderId="0" xfId="0" applyFont="1" applyFill="1" applyAlignment="1"/>
    <xf numFmtId="0" fontId="2" fillId="3" borderId="18" xfId="0" applyFont="1" applyFill="1" applyBorder="1" applyAlignment="1"/>
    <xf numFmtId="0" fontId="2" fillId="3" borderId="19" xfId="0" applyFont="1" applyFill="1" applyBorder="1" applyAlignment="1"/>
    <xf numFmtId="165" fontId="0" fillId="0" borderId="0" xfId="0" applyNumberFormat="1" applyFont="1" applyAlignment="1"/>
    <xf numFmtId="0" fontId="11" fillId="0" borderId="0" xfId="0" applyFont="1" applyAlignment="1"/>
    <xf numFmtId="0" fontId="0" fillId="0" borderId="0" xfId="0" applyFont="1" applyAlignment="1">
      <alignment wrapText="1"/>
    </xf>
    <xf numFmtId="0" fontId="13" fillId="0" borderId="15" xfId="0" applyFont="1" applyBorder="1" applyAlignment="1">
      <alignment wrapText="1"/>
    </xf>
    <xf numFmtId="165" fontId="13" fillId="0" borderId="15" xfId="0" applyNumberFormat="1" applyFont="1" applyBorder="1" applyAlignment="1">
      <alignment wrapText="1"/>
    </xf>
    <xf numFmtId="0" fontId="0" fillId="0" borderId="0" xfId="0" applyFont="1" applyAlignment="1"/>
    <xf numFmtId="0" fontId="4" fillId="9" borderId="0" xfId="0" applyFont="1" applyFill="1" applyAlignment="1">
      <alignment wrapText="1"/>
    </xf>
    <xf numFmtId="0" fontId="0" fillId="9" borderId="15" xfId="0" applyFont="1" applyFill="1" applyBorder="1" applyAlignment="1"/>
    <xf numFmtId="0" fontId="0" fillId="0" borderId="0" xfId="0" applyFont="1" applyAlignment="1"/>
    <xf numFmtId="0" fontId="0" fillId="0" borderId="0" xfId="0" applyFont="1" applyAlignment="1"/>
    <xf numFmtId="0" fontId="2" fillId="4" borderId="15" xfId="0" applyFont="1" applyFill="1" applyBorder="1" applyAlignment="1"/>
    <xf numFmtId="0" fontId="1" fillId="0" borderId="15" xfId="0" applyFont="1" applyFill="1" applyBorder="1" applyAlignment="1">
      <alignment wrapText="1"/>
    </xf>
    <xf numFmtId="0" fontId="0" fillId="0" borderId="0" xfId="0" applyFont="1" applyFill="1" applyAlignment="1"/>
    <xf numFmtId="3" fontId="10" fillId="0" borderId="5" xfId="0" applyNumberFormat="1" applyFont="1" applyBorder="1" applyAlignment="1">
      <alignment horizontal="right" wrapText="1"/>
    </xf>
    <xf numFmtId="4" fontId="10" fillId="0" borderId="5" xfId="0" applyNumberFormat="1" applyFont="1" applyBorder="1" applyAlignment="1">
      <alignment horizontal="right" wrapText="1"/>
    </xf>
    <xf numFmtId="4" fontId="10" fillId="0" borderId="5" xfId="0" applyNumberFormat="1" applyFont="1" applyBorder="1" applyAlignment="1">
      <alignment horizontal="right"/>
    </xf>
    <xf numFmtId="4" fontId="10" fillId="0" borderId="5" xfId="0" applyNumberFormat="1" applyFont="1" applyBorder="1" applyAlignment="1"/>
    <xf numFmtId="0" fontId="1" fillId="3" borderId="34" xfId="0" applyFont="1" applyFill="1" applyBorder="1" applyAlignment="1">
      <alignment wrapText="1"/>
    </xf>
    <xf numFmtId="0" fontId="1" fillId="3" borderId="15" xfId="0" applyFont="1" applyFill="1" applyBorder="1" applyAlignment="1">
      <alignment wrapText="1"/>
    </xf>
    <xf numFmtId="0" fontId="0" fillId="10" borderId="0" xfId="0" applyFont="1" applyFill="1" applyAlignment="1"/>
    <xf numFmtId="0" fontId="26" fillId="10" borderId="0" xfId="0" applyFont="1" applyFill="1" applyAlignment="1"/>
    <xf numFmtId="0" fontId="1" fillId="9" borderId="15" xfId="0" applyFont="1" applyFill="1" applyBorder="1" applyAlignment="1">
      <alignment wrapText="1"/>
    </xf>
    <xf numFmtId="0" fontId="7" fillId="9" borderId="15" xfId="0" applyFont="1" applyFill="1" applyBorder="1" applyAlignment="1">
      <alignment wrapText="1"/>
    </xf>
    <xf numFmtId="0" fontId="0" fillId="9" borderId="0" xfId="0" applyFont="1" applyFill="1" applyAlignment="1"/>
    <xf numFmtId="0" fontId="25" fillId="9" borderId="15" xfId="0" applyFont="1" applyFill="1" applyBorder="1" applyAlignment="1">
      <alignment wrapText="1"/>
    </xf>
    <xf numFmtId="0" fontId="8" fillId="9" borderId="15" xfId="0" applyFont="1" applyFill="1" applyBorder="1" applyAlignment="1">
      <alignment wrapText="1"/>
    </xf>
    <xf numFmtId="0" fontId="2" fillId="9" borderId="15" xfId="0" applyFont="1" applyFill="1" applyBorder="1" applyAlignment="1">
      <alignment wrapText="1"/>
    </xf>
    <xf numFmtId="3" fontId="2" fillId="9" borderId="15" xfId="0" applyNumberFormat="1" applyFont="1" applyFill="1" applyBorder="1" applyAlignment="1">
      <alignment wrapText="1"/>
    </xf>
    <xf numFmtId="0" fontId="9" fillId="9" borderId="15" xfId="0" applyFont="1" applyFill="1" applyBorder="1" applyAlignment="1"/>
    <xf numFmtId="0" fontId="10" fillId="9" borderId="15" xfId="0" applyFont="1" applyFill="1" applyBorder="1" applyAlignment="1"/>
    <xf numFmtId="0" fontId="24" fillId="9" borderId="15" xfId="0" applyFont="1" applyFill="1" applyBorder="1" applyAlignment="1">
      <alignment wrapText="1"/>
    </xf>
    <xf numFmtId="3" fontId="2" fillId="9" borderId="15" xfId="0" applyNumberFormat="1" applyFont="1" applyFill="1" applyBorder="1" applyAlignment="1"/>
    <xf numFmtId="3" fontId="2" fillId="9" borderId="15" xfId="0" applyNumberFormat="1" applyFont="1" applyFill="1" applyBorder="1" applyAlignment="1">
      <alignment horizontal="right"/>
    </xf>
    <xf numFmtId="0" fontId="2" fillId="9" borderId="15" xfId="0" applyFont="1" applyFill="1" applyBorder="1" applyAlignment="1"/>
    <xf numFmtId="2" fontId="2" fillId="9" borderId="15" xfId="0" applyNumberFormat="1" applyFont="1" applyFill="1" applyBorder="1" applyAlignment="1"/>
    <xf numFmtId="0" fontId="1" fillId="10" borderId="15" xfId="0" applyFont="1" applyFill="1" applyBorder="1" applyAlignment="1">
      <alignment wrapText="1"/>
    </xf>
    <xf numFmtId="0" fontId="2" fillId="10" borderId="15" xfId="0" applyFont="1" applyFill="1" applyBorder="1" applyAlignment="1"/>
    <xf numFmtId="0" fontId="7" fillId="10" borderId="15" xfId="0" applyFont="1" applyFill="1" applyBorder="1" applyAlignment="1">
      <alignment wrapText="1"/>
    </xf>
    <xf numFmtId="0" fontId="0" fillId="10" borderId="15" xfId="0" applyFont="1" applyFill="1" applyBorder="1" applyAlignment="1"/>
    <xf numFmtId="0" fontId="2" fillId="10" borderId="15" xfId="0" applyFont="1" applyFill="1" applyBorder="1" applyAlignment="1">
      <alignment wrapText="1"/>
    </xf>
    <xf numFmtId="0" fontId="24" fillId="10" borderId="15" xfId="0" applyFont="1" applyFill="1" applyBorder="1" applyAlignment="1">
      <alignment wrapText="1"/>
    </xf>
    <xf numFmtId="0" fontId="25" fillId="10" borderId="15" xfId="0" applyFont="1" applyFill="1" applyBorder="1" applyAlignment="1">
      <alignment wrapText="1"/>
    </xf>
    <xf numFmtId="0" fontId="8" fillId="10" borderId="15" xfId="0" applyFont="1" applyFill="1" applyBorder="1" applyAlignment="1">
      <alignment wrapText="1"/>
    </xf>
    <xf numFmtId="0" fontId="2" fillId="10" borderId="0" xfId="0" applyFont="1" applyFill="1" applyAlignment="1"/>
    <xf numFmtId="0" fontId="2" fillId="9" borderId="0" xfId="0" applyFont="1" applyFill="1" applyAlignment="1"/>
    <xf numFmtId="0" fontId="6" fillId="11" borderId="0" xfId="0" applyFont="1" applyFill="1" applyAlignment="1"/>
    <xf numFmtId="165" fontId="2" fillId="11" borderId="0" xfId="0" applyNumberFormat="1" applyFont="1" applyFill="1" applyAlignment="1"/>
    <xf numFmtId="165" fontId="15" fillId="11" borderId="0" xfId="0" applyNumberFormat="1" applyFont="1" applyFill="1" applyAlignment="1"/>
    <xf numFmtId="0" fontId="6" fillId="12" borderId="0" xfId="0" applyFont="1" applyFill="1" applyAlignment="1"/>
    <xf numFmtId="165" fontId="17" fillId="13" borderId="0" xfId="0" applyNumberFormat="1" applyFont="1" applyFill="1" applyAlignment="1">
      <alignment horizontal="right" wrapText="1"/>
    </xf>
    <xf numFmtId="9" fontId="15" fillId="13" borderId="0" xfId="0" applyNumberFormat="1" applyFont="1" applyFill="1" applyAlignment="1">
      <alignment wrapText="1"/>
    </xf>
    <xf numFmtId="166" fontId="14" fillId="11" borderId="0" xfId="0" applyNumberFormat="1" applyFont="1" applyFill="1" applyAlignment="1"/>
    <xf numFmtId="0" fontId="2" fillId="11" borderId="0" xfId="0" applyFont="1" applyFill="1" applyAlignment="1"/>
    <xf numFmtId="0" fontId="10" fillId="11" borderId="0" xfId="0" applyFont="1" applyFill="1"/>
    <xf numFmtId="3" fontId="2" fillId="11" borderId="0" xfId="0" applyNumberFormat="1" applyFont="1" applyFill="1" applyAlignment="1">
      <alignment horizontal="right" wrapText="1"/>
    </xf>
    <xf numFmtId="49" fontId="2" fillId="11" borderId="0" xfId="0" applyNumberFormat="1" applyFont="1" applyFill="1" applyAlignment="1">
      <alignment horizontal="right" wrapText="1"/>
    </xf>
    <xf numFmtId="0" fontId="8" fillId="13" borderId="0" xfId="0" applyFont="1" applyFill="1" applyAlignment="1">
      <alignment wrapText="1"/>
    </xf>
    <xf numFmtId="0" fontId="10" fillId="11" borderId="0" xfId="0" applyFont="1" applyFill="1" applyAlignment="1"/>
    <xf numFmtId="0" fontId="1" fillId="14" borderId="15" xfId="0" applyFont="1" applyFill="1" applyBorder="1" applyAlignment="1">
      <alignment horizontal="center"/>
    </xf>
    <xf numFmtId="0" fontId="0" fillId="11" borderId="15" xfId="0" applyFont="1" applyFill="1" applyBorder="1" applyAlignment="1"/>
    <xf numFmtId="3" fontId="2" fillId="11" borderId="15" xfId="0" applyNumberFormat="1" applyFont="1" applyFill="1" applyBorder="1" applyAlignment="1">
      <alignment horizontal="right" wrapText="1"/>
    </xf>
    <xf numFmtId="0" fontId="1" fillId="14" borderId="15" xfId="0" applyFont="1" applyFill="1" applyBorder="1" applyAlignment="1">
      <alignment horizontal="left"/>
    </xf>
    <xf numFmtId="0" fontId="10" fillId="11" borderId="15" xfId="0" applyFont="1" applyFill="1" applyBorder="1" applyAlignment="1"/>
    <xf numFmtId="165" fontId="20" fillId="14" borderId="15" xfId="0" applyNumberFormat="1" applyFont="1" applyFill="1" applyBorder="1" applyAlignment="1"/>
    <xf numFmtId="0" fontId="8" fillId="0" borderId="25" xfId="0" applyFont="1" applyBorder="1" applyAlignment="1">
      <alignment wrapText="1"/>
    </xf>
    <xf numFmtId="49" fontId="0" fillId="11" borderId="0" xfId="0" applyNumberFormat="1" applyFont="1" applyFill="1" applyAlignment="1"/>
    <xf numFmtId="0" fontId="2" fillId="12" borderId="0" xfId="0" applyFont="1" applyFill="1"/>
    <xf numFmtId="165" fontId="20" fillId="15" borderId="15" xfId="0" applyNumberFormat="1" applyFont="1" applyFill="1" applyBorder="1" applyAlignment="1"/>
    <xf numFmtId="0" fontId="2" fillId="17" borderId="0" xfId="0" applyFont="1" applyFill="1"/>
    <xf numFmtId="0" fontId="1" fillId="3" borderId="37" xfId="0" applyFont="1" applyFill="1" applyBorder="1" applyAlignment="1"/>
    <xf numFmtId="0" fontId="2" fillId="4" borderId="16" xfId="0" applyFont="1" applyFill="1" applyBorder="1" applyAlignment="1">
      <alignment wrapText="1"/>
    </xf>
    <xf numFmtId="0" fontId="2" fillId="4" borderId="15" xfId="0" applyFont="1" applyFill="1" applyBorder="1" applyAlignment="1">
      <alignment wrapText="1"/>
    </xf>
    <xf numFmtId="0" fontId="2" fillId="6" borderId="15" xfId="0" applyFont="1" applyFill="1" applyBorder="1"/>
    <xf numFmtId="3" fontId="27" fillId="0" borderId="10" xfId="0" applyNumberFormat="1" applyFont="1" applyBorder="1" applyAlignment="1">
      <alignment horizontal="right" wrapText="1"/>
    </xf>
    <xf numFmtId="0" fontId="27" fillId="0" borderId="32" xfId="0" applyFont="1" applyBorder="1" applyAlignment="1">
      <alignment horizontal="right" wrapText="1"/>
    </xf>
    <xf numFmtId="3" fontId="27" fillId="0" borderId="32" xfId="0" applyNumberFormat="1" applyFont="1" applyBorder="1" applyAlignment="1">
      <alignment horizontal="right" wrapText="1"/>
    </xf>
    <xf numFmtId="166" fontId="27" fillId="0" borderId="32" xfId="0" applyNumberFormat="1" applyFont="1" applyBorder="1" applyAlignment="1">
      <alignment wrapText="1"/>
    </xf>
    <xf numFmtId="3" fontId="27" fillId="0" borderId="23" xfId="0" applyNumberFormat="1" applyFont="1" applyBorder="1" applyAlignment="1">
      <alignment wrapText="1"/>
    </xf>
    <xf numFmtId="0" fontId="27" fillId="0" borderId="23" xfId="0" applyFont="1" applyBorder="1" applyAlignment="1">
      <alignment wrapText="1"/>
    </xf>
    <xf numFmtId="165" fontId="27" fillId="0" borderId="23" xfId="0" applyNumberFormat="1" applyFont="1" applyBorder="1" applyAlignment="1">
      <alignment wrapText="1"/>
    </xf>
    <xf numFmtId="3" fontId="27" fillId="0" borderId="32" xfId="0" applyNumberFormat="1" applyFont="1" applyBorder="1" applyAlignment="1">
      <alignment wrapText="1"/>
    </xf>
    <xf numFmtId="165" fontId="27" fillId="0" borderId="32" xfId="0" applyNumberFormat="1" applyFont="1" applyBorder="1" applyAlignment="1"/>
    <xf numFmtId="1" fontId="27" fillId="0" borderId="5" xfId="0" applyNumberFormat="1" applyFont="1" applyBorder="1" applyAlignment="1">
      <alignment horizontal="right" wrapText="1"/>
    </xf>
    <xf numFmtId="2" fontId="27" fillId="0" borderId="5" xfId="0" applyNumberFormat="1" applyFont="1" applyBorder="1" applyAlignment="1">
      <alignment horizontal="right" wrapText="1"/>
    </xf>
    <xf numFmtId="165" fontId="27" fillId="0" borderId="32" xfId="0" applyNumberFormat="1" applyFont="1" applyBorder="1" applyAlignment="1">
      <alignment wrapText="1"/>
    </xf>
    <xf numFmtId="0" fontId="27" fillId="0" borderId="36" xfId="0" applyFont="1" applyBorder="1" applyAlignment="1"/>
    <xf numFmtId="0" fontId="27" fillId="0" borderId="5" xfId="0" applyFont="1" applyBorder="1" applyAlignment="1">
      <alignment horizontal="right" wrapText="1"/>
    </xf>
    <xf numFmtId="0" fontId="27" fillId="0" borderId="0" xfId="0" applyFont="1" applyAlignment="1"/>
    <xf numFmtId="9" fontId="27" fillId="0" borderId="32" xfId="0" applyNumberFormat="1" applyFont="1" applyBorder="1" applyAlignment="1">
      <alignment wrapText="1"/>
    </xf>
    <xf numFmtId="165" fontId="27" fillId="0" borderId="32" xfId="0" applyNumberFormat="1" applyFont="1" applyBorder="1" applyAlignment="1">
      <alignment horizontal="right" wrapText="1"/>
    </xf>
    <xf numFmtId="166" fontId="27" fillId="0" borderId="32" xfId="0" applyNumberFormat="1" applyFont="1" applyBorder="1" applyAlignment="1">
      <alignment horizontal="right" wrapText="1"/>
    </xf>
    <xf numFmtId="4" fontId="27" fillId="0" borderId="32" xfId="0" applyNumberFormat="1" applyFont="1" applyBorder="1" applyAlignment="1"/>
    <xf numFmtId="0" fontId="6" fillId="7" borderId="32" xfId="0" applyFont="1" applyFill="1" applyBorder="1" applyAlignment="1">
      <alignment horizontal="left"/>
    </xf>
    <xf numFmtId="0" fontId="6" fillId="0" borderId="32" xfId="0" applyFont="1" applyBorder="1" applyAlignment="1">
      <alignment wrapText="1"/>
    </xf>
    <xf numFmtId="4" fontId="2" fillId="0" borderId="12" xfId="0" applyNumberFormat="1" applyFont="1" applyBorder="1" applyAlignment="1"/>
    <xf numFmtId="4" fontId="10" fillId="0" borderId="30" xfId="0" applyNumberFormat="1" applyFont="1" applyBorder="1" applyAlignment="1"/>
    <xf numFmtId="0" fontId="2" fillId="18" borderId="15" xfId="0" applyFont="1" applyFill="1" applyBorder="1" applyAlignment="1">
      <alignment wrapText="1"/>
    </xf>
    <xf numFmtId="4" fontId="2" fillId="11" borderId="15" xfId="0" applyNumberFormat="1" applyFont="1" applyFill="1" applyBorder="1" applyAlignment="1">
      <alignment wrapText="1"/>
    </xf>
    <xf numFmtId="4" fontId="2" fillId="0" borderId="15" xfId="0" applyNumberFormat="1" applyFont="1" applyBorder="1" applyAlignment="1"/>
    <xf numFmtId="0" fontId="0" fillId="0" borderId="0" xfId="0" applyFont="1" applyAlignment="1"/>
    <xf numFmtId="0" fontId="0" fillId="0" borderId="15" xfId="0" applyFont="1" applyBorder="1" applyAlignment="1"/>
    <xf numFmtId="3" fontId="0" fillId="0" borderId="5" xfId="0" applyNumberFormat="1" applyFont="1" applyBorder="1" applyAlignment="1">
      <alignment horizontal="right" wrapText="1"/>
    </xf>
    <xf numFmtId="2" fontId="0" fillId="0" borderId="5" xfId="0" applyNumberFormat="1" applyFont="1" applyBorder="1" applyAlignment="1">
      <alignment horizontal="right" wrapText="1"/>
    </xf>
    <xf numFmtId="10" fontId="0" fillId="0" borderId="5" xfId="0" applyNumberFormat="1" applyFont="1" applyBorder="1" applyAlignment="1">
      <alignment horizontal="right" wrapText="1"/>
    </xf>
    <xf numFmtId="0" fontId="0" fillId="0" borderId="5" xfId="0" applyNumberFormat="1" applyFont="1" applyBorder="1" applyAlignment="1">
      <alignment horizontal="right" wrapText="1"/>
    </xf>
    <xf numFmtId="0" fontId="0" fillId="9" borderId="0" xfId="0" applyFont="1" applyFill="1" applyAlignment="1">
      <alignment wrapText="1"/>
    </xf>
    <xf numFmtId="0" fontId="0" fillId="0" borderId="0" xfId="0" applyFont="1" applyAlignment="1"/>
    <xf numFmtId="10" fontId="2" fillId="0" borderId="5" xfId="0" applyNumberFormat="1" applyFont="1" applyBorder="1" applyAlignment="1">
      <alignment horizontal="right" wrapText="1"/>
    </xf>
    <xf numFmtId="2" fontId="2" fillId="0" borderId="5" xfId="0" applyNumberFormat="1" applyFont="1" applyBorder="1" applyAlignment="1">
      <alignment horizontal="right" wrapText="1"/>
    </xf>
    <xf numFmtId="0" fontId="0" fillId="0" borderId="0" xfId="0" applyFont="1" applyAlignment="1"/>
    <xf numFmtId="0" fontId="1" fillId="9" borderId="15" xfId="0" applyFont="1" applyFill="1" applyBorder="1" applyAlignment="1">
      <alignment horizontal="center"/>
    </xf>
    <xf numFmtId="0" fontId="4" fillId="11" borderId="15" xfId="0" applyFont="1" applyFill="1" applyBorder="1" applyAlignment="1"/>
    <xf numFmtId="0" fontId="8" fillId="0" borderId="15" xfId="0" applyFont="1" applyBorder="1" applyAlignment="1">
      <alignment wrapText="1"/>
    </xf>
    <xf numFmtId="0" fontId="4" fillId="0" borderId="15" xfId="0" applyFont="1" applyBorder="1" applyAlignment="1"/>
    <xf numFmtId="0" fontId="2" fillId="4" borderId="0" xfId="0" applyFont="1" applyFill="1" applyAlignment="1">
      <alignment wrapText="1"/>
    </xf>
    <xf numFmtId="0" fontId="0" fillId="11" borderId="0" xfId="0" applyFont="1" applyFill="1" applyAlignment="1"/>
    <xf numFmtId="0" fontId="7" fillId="10" borderId="0" xfId="0" applyFont="1" applyFill="1" applyAlignment="1">
      <alignment wrapText="1"/>
    </xf>
    <xf numFmtId="0" fontId="7" fillId="9" borderId="0" xfId="0" applyFont="1" applyFill="1" applyAlignment="1">
      <alignment wrapText="1"/>
    </xf>
    <xf numFmtId="10" fontId="2" fillId="0" borderId="23" xfId="0" applyNumberFormat="1" applyFont="1" applyBorder="1" applyAlignment="1">
      <alignment wrapText="1"/>
    </xf>
    <xf numFmtId="10" fontId="2" fillId="0" borderId="5" xfId="0" applyNumberFormat="1" applyFont="1" applyBorder="1" applyAlignment="1">
      <alignment wrapText="1"/>
    </xf>
    <xf numFmtId="2" fontId="2" fillId="0" borderId="5" xfId="0" applyNumberFormat="1" applyFont="1" applyBorder="1" applyAlignment="1">
      <alignment wrapText="1"/>
    </xf>
    <xf numFmtId="0" fontId="4" fillId="0" borderId="0" xfId="0" applyFont="1" applyAlignment="1"/>
    <xf numFmtId="0" fontId="2" fillId="0" borderId="15" xfId="0" applyFont="1" applyBorder="1"/>
    <xf numFmtId="3" fontId="2" fillId="0" borderId="15" xfId="0" applyNumberFormat="1" applyFont="1" applyBorder="1" applyAlignment="1"/>
    <xf numFmtId="0" fontId="2" fillId="0" borderId="15" xfId="0" applyFont="1" applyBorder="1" applyAlignment="1"/>
    <xf numFmtId="0" fontId="9" fillId="0" borderId="15" xfId="0" applyFont="1" applyBorder="1" applyAlignment="1"/>
    <xf numFmtId="0" fontId="10" fillId="0" borderId="15" xfId="0" applyFont="1" applyBorder="1" applyAlignment="1"/>
    <xf numFmtId="4" fontId="0" fillId="7" borderId="15" xfId="0" applyNumberFormat="1" applyFont="1" applyFill="1" applyBorder="1"/>
    <xf numFmtId="4" fontId="10" fillId="0" borderId="15" xfId="0" applyNumberFormat="1" applyFont="1" applyBorder="1" applyAlignment="1"/>
    <xf numFmtId="2" fontId="9" fillId="0" borderId="15" xfId="0" applyNumberFormat="1" applyFont="1" applyBorder="1" applyAlignment="1"/>
    <xf numFmtId="4" fontId="9" fillId="0" borderId="15" xfId="0" applyNumberFormat="1" applyFont="1" applyBorder="1"/>
    <xf numFmtId="4" fontId="9" fillId="0" borderId="15" xfId="0" applyNumberFormat="1" applyFont="1" applyBorder="1" applyAlignment="1"/>
    <xf numFmtId="0" fontId="9" fillId="0" borderId="15" xfId="0" applyFont="1" applyBorder="1"/>
    <xf numFmtId="4" fontId="2" fillId="0" borderId="15" xfId="0" applyNumberFormat="1" applyFont="1" applyBorder="1"/>
    <xf numFmtId="0" fontId="2" fillId="9" borderId="15" xfId="0" applyFont="1" applyFill="1" applyBorder="1"/>
    <xf numFmtId="0" fontId="6" fillId="9" borderId="15" xfId="0" applyFont="1" applyFill="1" applyBorder="1" applyAlignment="1"/>
    <xf numFmtId="4" fontId="2" fillId="9" borderId="15" xfId="0" applyNumberFormat="1" applyFont="1" applyFill="1" applyBorder="1"/>
    <xf numFmtId="4" fontId="2" fillId="9" borderId="15" xfId="0" applyNumberFormat="1" applyFont="1" applyFill="1" applyBorder="1" applyAlignment="1"/>
    <xf numFmtId="4" fontId="2" fillId="9" borderId="15" xfId="0" applyNumberFormat="1" applyFont="1" applyFill="1" applyBorder="1" applyAlignment="1">
      <alignment horizontal="right"/>
    </xf>
    <xf numFmtId="3" fontId="0" fillId="9" borderId="15" xfId="0" applyNumberFormat="1" applyFont="1" applyFill="1" applyBorder="1" applyAlignment="1"/>
    <xf numFmtId="4" fontId="0" fillId="9" borderId="15" xfId="0" applyNumberFormat="1" applyFont="1" applyFill="1" applyBorder="1"/>
    <xf numFmtId="0" fontId="0" fillId="0" borderId="0" xfId="0" applyFont="1" applyAlignment="1"/>
    <xf numFmtId="0" fontId="2" fillId="4" borderId="0" xfId="0" applyFont="1" applyFill="1" applyAlignment="1">
      <alignment wrapText="1"/>
    </xf>
    <xf numFmtId="10" fontId="27" fillId="0" borderId="22" xfId="0" applyNumberFormat="1" applyFont="1" applyBorder="1" applyAlignment="1">
      <alignment horizontal="right" wrapText="1"/>
    </xf>
    <xf numFmtId="10" fontId="27" fillId="0" borderId="24" xfId="0" applyNumberFormat="1" applyFont="1" applyBorder="1" applyAlignment="1">
      <alignment wrapText="1"/>
    </xf>
    <xf numFmtId="10" fontId="27" fillId="0" borderId="32" xfId="0" applyNumberFormat="1" applyFont="1" applyBorder="1" applyAlignment="1"/>
    <xf numFmtId="10" fontId="27" fillId="0" borderId="32" xfId="0" applyNumberFormat="1" applyFont="1" applyBorder="1" applyAlignment="1">
      <alignment wrapText="1"/>
    </xf>
    <xf numFmtId="10" fontId="27" fillId="0" borderId="32" xfId="0" applyNumberFormat="1" applyFont="1" applyBorder="1" applyAlignment="1">
      <alignment horizontal="right" wrapText="1"/>
    </xf>
    <xf numFmtId="10" fontId="27" fillId="0" borderId="5" xfId="0" applyNumberFormat="1" applyFont="1" applyBorder="1" applyAlignment="1">
      <alignment horizontal="right" wrapText="1"/>
    </xf>
    <xf numFmtId="164" fontId="2" fillId="9" borderId="15" xfId="0" applyNumberFormat="1" applyFont="1" applyFill="1" applyBorder="1" applyAlignment="1">
      <alignment horizontal="right" wrapText="1"/>
    </xf>
    <xf numFmtId="4" fontId="2" fillId="9" borderId="15" xfId="0" applyNumberFormat="1" applyFont="1" applyFill="1" applyBorder="1" applyAlignment="1">
      <alignment horizontal="right" wrapText="1"/>
    </xf>
    <xf numFmtId="3" fontId="10" fillId="9" borderId="15" xfId="0" applyNumberFormat="1" applyFont="1" applyFill="1" applyBorder="1" applyAlignment="1">
      <alignment horizontal="right" wrapText="1"/>
    </xf>
    <xf numFmtId="10" fontId="0" fillId="9" borderId="15" xfId="0" applyNumberFormat="1" applyFont="1" applyFill="1" applyBorder="1" applyAlignment="1">
      <alignment horizontal="right" wrapText="1"/>
    </xf>
    <xf numFmtId="2" fontId="0" fillId="9" borderId="15" xfId="0" applyNumberFormat="1" applyFont="1" applyFill="1" applyBorder="1" applyAlignment="1">
      <alignment horizontal="right" wrapText="1"/>
    </xf>
    <xf numFmtId="0" fontId="0" fillId="9" borderId="15" xfId="0" applyNumberFormat="1" applyFont="1" applyFill="1" applyBorder="1" applyAlignment="1">
      <alignment horizontal="right" wrapText="1"/>
    </xf>
    <xf numFmtId="4" fontId="10" fillId="9" borderId="15" xfId="0" applyNumberFormat="1" applyFont="1" applyFill="1" applyBorder="1" applyAlignment="1">
      <alignment horizontal="right" wrapText="1"/>
    </xf>
    <xf numFmtId="2" fontId="23" fillId="9" borderId="15" xfId="0" applyNumberFormat="1" applyFont="1" applyFill="1" applyBorder="1" applyAlignment="1">
      <alignment horizontal="left" indent="7"/>
    </xf>
    <xf numFmtId="3" fontId="22" fillId="0" borderId="15" xfId="0" applyNumberFormat="1" applyFont="1" applyBorder="1" applyAlignment="1">
      <alignment wrapText="1"/>
    </xf>
    <xf numFmtId="0" fontId="22" fillId="0" borderId="15" xfId="0" applyFont="1" applyBorder="1" applyAlignment="1"/>
    <xf numFmtId="0" fontId="1" fillId="9" borderId="15" xfId="0" applyFont="1" applyFill="1" applyBorder="1" applyAlignment="1"/>
    <xf numFmtId="0" fontId="0" fillId="10" borderId="0" xfId="0" applyFont="1" applyFill="1" applyAlignment="1">
      <alignment wrapText="1"/>
    </xf>
    <xf numFmtId="4" fontId="0" fillId="10" borderId="0" xfId="0" applyNumberFormat="1" applyFont="1" applyFill="1" applyAlignment="1"/>
    <xf numFmtId="165" fontId="2" fillId="0" borderId="42" xfId="0" applyNumberFormat="1" applyFont="1" applyBorder="1"/>
    <xf numFmtId="0" fontId="0" fillId="0" borderId="0" xfId="0" applyFont="1" applyAlignment="1"/>
    <xf numFmtId="0" fontId="1" fillId="9" borderId="15" xfId="0" applyFont="1" applyFill="1" applyBorder="1" applyAlignment="1">
      <alignment horizontal="center"/>
    </xf>
    <xf numFmtId="0" fontId="8" fillId="9" borderId="15" xfId="0" applyFont="1" applyFill="1" applyBorder="1" applyAlignment="1">
      <alignment wrapText="1"/>
    </xf>
    <xf numFmtId="0" fontId="4" fillId="9" borderId="15" xfId="0" applyFont="1" applyFill="1" applyBorder="1" applyAlignment="1"/>
    <xf numFmtId="0" fontId="11" fillId="9" borderId="15" xfId="0" applyFont="1" applyFill="1" applyBorder="1" applyAlignment="1">
      <alignment wrapText="1"/>
    </xf>
    <xf numFmtId="0" fontId="1" fillId="9" borderId="15" xfId="0" applyFont="1" applyFill="1" applyBorder="1" applyAlignment="1">
      <alignment wrapText="1"/>
    </xf>
    <xf numFmtId="0" fontId="7" fillId="9" borderId="15" xfId="0" applyFont="1" applyFill="1" applyBorder="1" applyAlignment="1">
      <alignment wrapText="1"/>
    </xf>
    <xf numFmtId="0" fontId="1" fillId="14" borderId="15" xfId="0" applyFont="1" applyFill="1" applyBorder="1" applyAlignment="1">
      <alignment wrapText="1"/>
    </xf>
    <xf numFmtId="0" fontId="4" fillId="11" borderId="15" xfId="0" applyFont="1" applyFill="1" applyBorder="1" applyAlignment="1"/>
    <xf numFmtId="0" fontId="2" fillId="9" borderId="15" xfId="0" applyFont="1" applyFill="1" applyBorder="1" applyAlignment="1">
      <alignment wrapText="1"/>
    </xf>
    <xf numFmtId="4" fontId="2" fillId="9" borderId="15" xfId="0" applyNumberFormat="1" applyFont="1" applyFill="1" applyBorder="1" applyAlignment="1">
      <alignment horizontal="right" wrapText="1"/>
    </xf>
    <xf numFmtId="0" fontId="2" fillId="9" borderId="15" xfId="0" applyFont="1" applyFill="1" applyBorder="1" applyAlignment="1"/>
    <xf numFmtId="3" fontId="2" fillId="9" borderId="15" xfId="0" applyNumberFormat="1" applyFont="1" applyFill="1" applyBorder="1" applyAlignment="1">
      <alignment horizontal="right" wrapText="1"/>
    </xf>
    <xf numFmtId="167" fontId="2" fillId="9" borderId="15" xfId="0" applyNumberFormat="1" applyFont="1" applyFill="1" applyBorder="1" applyAlignment="1">
      <alignment horizontal="right" wrapText="1"/>
    </xf>
    <xf numFmtId="0" fontId="8" fillId="0" borderId="15" xfId="0" applyFont="1" applyBorder="1" applyAlignment="1">
      <alignment wrapText="1"/>
    </xf>
    <xf numFmtId="0" fontId="4" fillId="0" borderId="15" xfId="0" applyFont="1" applyBorder="1" applyAlignment="1"/>
    <xf numFmtId="164" fontId="2" fillId="9" borderId="15" xfId="0" applyNumberFormat="1" applyFont="1" applyFill="1" applyBorder="1" applyAlignment="1">
      <alignment horizontal="right" wrapText="1"/>
    </xf>
    <xf numFmtId="0" fontId="8" fillId="0" borderId="4" xfId="0" applyFont="1" applyBorder="1" applyAlignment="1">
      <alignment wrapText="1"/>
    </xf>
    <xf numFmtId="0" fontId="4" fillId="0" borderId="5" xfId="0" applyFont="1" applyBorder="1" applyAlignment="1"/>
    <xf numFmtId="4" fontId="12" fillId="5" borderId="4" xfId="0" applyNumberFormat="1" applyFont="1" applyFill="1" applyBorder="1" applyAlignment="1">
      <alignment wrapText="1"/>
    </xf>
    <xf numFmtId="0" fontId="4" fillId="0" borderId="4" xfId="0" applyFont="1" applyBorder="1" applyAlignment="1"/>
    <xf numFmtId="0" fontId="8" fillId="0" borderId="21" xfId="0" applyFont="1" applyBorder="1" applyAlignment="1">
      <alignment wrapText="1"/>
    </xf>
    <xf numFmtId="0" fontId="4" fillId="0" borderId="22" xfId="0" applyFont="1" applyBorder="1" applyAlignment="1"/>
    <xf numFmtId="0" fontId="12" fillId="5" borderId="4" xfId="0" applyFont="1" applyFill="1" applyBorder="1" applyAlignment="1">
      <alignment wrapText="1"/>
    </xf>
    <xf numFmtId="0" fontId="8" fillId="0" borderId="9" xfId="0" applyFont="1" applyBorder="1" applyAlignment="1">
      <alignment wrapText="1"/>
    </xf>
    <xf numFmtId="0" fontId="4" fillId="0" borderId="10" xfId="0" applyFont="1" applyBorder="1" applyAlignment="1"/>
    <xf numFmtId="0" fontId="8" fillId="0" borderId="8" xfId="0" applyFont="1" applyBorder="1" applyAlignment="1">
      <alignment wrapText="1"/>
    </xf>
    <xf numFmtId="0" fontId="4" fillId="0" borderId="12" xfId="0" applyFont="1" applyBorder="1" applyAlignment="1"/>
    <xf numFmtId="0" fontId="1" fillId="3" borderId="17" xfId="0" applyFont="1" applyFill="1" applyBorder="1" applyAlignment="1">
      <alignment wrapText="1"/>
    </xf>
    <xf numFmtId="0" fontId="4" fillId="0" borderId="18" xfId="0" applyFont="1" applyBorder="1" applyAlignment="1"/>
    <xf numFmtId="0" fontId="4" fillId="0" borderId="19" xfId="0" applyFont="1" applyBorder="1" applyAlignment="1"/>
    <xf numFmtId="0" fontId="12" fillId="5" borderId="9" xfId="0" applyFont="1" applyFill="1" applyBorder="1" applyAlignment="1">
      <alignment wrapText="1"/>
    </xf>
    <xf numFmtId="0" fontId="4" fillId="0" borderId="20" xfId="0" applyFont="1" applyBorder="1" applyAlignment="1"/>
    <xf numFmtId="0" fontId="1" fillId="3" borderId="6" xfId="0" applyFont="1" applyFill="1" applyBorder="1" applyAlignment="1">
      <alignment wrapText="1"/>
    </xf>
    <xf numFmtId="0" fontId="4" fillId="0" borderId="7" xfId="0" applyFont="1" applyBorder="1" applyAlignment="1"/>
    <xf numFmtId="0" fontId="7" fillId="5" borderId="8" xfId="0" applyFont="1" applyFill="1" applyBorder="1" applyAlignment="1">
      <alignment wrapText="1"/>
    </xf>
    <xf numFmtId="0" fontId="8" fillId="0" borderId="33" xfId="0" applyFont="1" applyBorder="1" applyAlignment="1">
      <alignment wrapText="1"/>
    </xf>
    <xf numFmtId="0" fontId="1" fillId="3" borderId="4" xfId="0" applyFont="1" applyFill="1" applyBorder="1" applyAlignment="1">
      <alignment wrapText="1"/>
    </xf>
    <xf numFmtId="0" fontId="7" fillId="5" borderId="4" xfId="0" applyFont="1" applyFill="1" applyBorder="1" applyAlignment="1">
      <alignment wrapText="1"/>
    </xf>
    <xf numFmtId="0" fontId="27" fillId="0" borderId="25" xfId="0" applyFont="1" applyBorder="1" applyAlignment="1">
      <alignment wrapText="1"/>
    </xf>
    <xf numFmtId="0" fontId="27" fillId="0" borderId="13" xfId="0" applyFont="1" applyBorder="1" applyAlignment="1"/>
    <xf numFmtId="0" fontId="6" fillId="0" borderId="26" xfId="0" applyFont="1" applyBorder="1" applyAlignment="1">
      <alignment wrapText="1"/>
    </xf>
    <xf numFmtId="0" fontId="4" fillId="0" borderId="27" xfId="0" applyFont="1" applyBorder="1" applyAlignment="1"/>
    <xf numFmtId="0" fontId="2" fillId="4" borderId="0" xfId="0" applyFont="1" applyFill="1" applyAlignment="1">
      <alignment wrapText="1"/>
    </xf>
    <xf numFmtId="0" fontId="27" fillId="0" borderId="9" xfId="0" applyFont="1" applyBorder="1" applyAlignment="1">
      <alignment wrapText="1"/>
    </xf>
    <xf numFmtId="0" fontId="27" fillId="0" borderId="10" xfId="0" applyFont="1" applyBorder="1" applyAlignment="1"/>
    <xf numFmtId="0" fontId="27" fillId="0" borderId="21" xfId="0" applyFont="1" applyBorder="1" applyAlignment="1">
      <alignment wrapText="1"/>
    </xf>
    <xf numFmtId="0" fontId="27" fillId="0" borderId="22" xfId="0" applyFont="1" applyBorder="1" applyAlignment="1"/>
    <xf numFmtId="0" fontId="18" fillId="13" borderId="0" xfId="0" applyFont="1" applyFill="1" applyAlignment="1">
      <alignment wrapText="1"/>
    </xf>
    <xf numFmtId="0" fontId="0" fillId="11" borderId="0" xfId="0" applyFont="1" applyFill="1" applyAlignment="1"/>
    <xf numFmtId="0" fontId="15" fillId="13" borderId="0" xfId="0" applyFont="1" applyFill="1" applyAlignment="1">
      <alignment wrapText="1"/>
    </xf>
    <xf numFmtId="0" fontId="8" fillId="11" borderId="0" xfId="0" applyFont="1" applyFill="1" applyAlignment="1">
      <alignment wrapText="1"/>
    </xf>
    <xf numFmtId="0" fontId="12" fillId="5" borderId="0" xfId="0" applyFont="1" applyFill="1" applyAlignment="1">
      <alignment wrapText="1"/>
    </xf>
    <xf numFmtId="0" fontId="6" fillId="7" borderId="29" xfId="0" applyFont="1" applyFill="1" applyBorder="1" applyAlignment="1">
      <alignment horizontal="left" wrapText="1"/>
    </xf>
    <xf numFmtId="0" fontId="6" fillId="7" borderId="30" xfId="0" applyFont="1" applyFill="1" applyBorder="1" applyAlignment="1">
      <alignment horizontal="left" wrapText="1"/>
    </xf>
    <xf numFmtId="0" fontId="6" fillId="0" borderId="25" xfId="0" applyFont="1" applyBorder="1" applyAlignment="1">
      <alignment wrapText="1"/>
    </xf>
    <xf numFmtId="0" fontId="2" fillId="0" borderId="13" xfId="0" applyFont="1" applyBorder="1" applyAlignment="1"/>
    <xf numFmtId="0" fontId="6" fillId="0" borderId="33" xfId="0" applyFont="1" applyBorder="1" applyAlignment="1">
      <alignment wrapText="1"/>
    </xf>
    <xf numFmtId="0" fontId="2" fillId="0" borderId="12" xfId="0" applyFont="1" applyBorder="1" applyAlignment="1"/>
    <xf numFmtId="0" fontId="27" fillId="0" borderId="8" xfId="0" applyFont="1" applyBorder="1" applyAlignment="1">
      <alignment wrapText="1"/>
    </xf>
    <xf numFmtId="0" fontId="27" fillId="0" borderId="5" xfId="0" applyFont="1" applyBorder="1" applyAlignment="1"/>
    <xf numFmtId="0" fontId="6" fillId="7" borderId="29" xfId="0" applyFont="1" applyFill="1" applyBorder="1" applyAlignment="1">
      <alignment wrapText="1"/>
    </xf>
    <xf numFmtId="0" fontId="2" fillId="0" borderId="30" xfId="0" applyFont="1" applyBorder="1" applyAlignment="1"/>
    <xf numFmtId="0" fontId="15" fillId="11" borderId="0" xfId="0" applyFont="1" applyFill="1" applyAlignment="1">
      <alignment wrapText="1"/>
    </xf>
    <xf numFmtId="0" fontId="6" fillId="0" borderId="8" xfId="0" applyFont="1" applyBorder="1" applyAlignment="1">
      <alignment wrapText="1"/>
    </xf>
    <xf numFmtId="0" fontId="2" fillId="0" borderId="5" xfId="0" applyFont="1" applyBorder="1" applyAlignment="1"/>
    <xf numFmtId="0" fontId="6" fillId="11" borderId="15" xfId="0" applyFont="1" applyFill="1" applyBorder="1" applyAlignment="1">
      <alignment wrapText="1"/>
    </xf>
    <xf numFmtId="0" fontId="16" fillId="13" borderId="0" xfId="0" applyFont="1" applyFill="1" applyAlignment="1">
      <alignment horizontal="left"/>
    </xf>
    <xf numFmtId="0" fontId="3" fillId="15" borderId="15" xfId="0" applyFont="1" applyFill="1" applyBorder="1" applyAlignment="1">
      <alignment wrapText="1"/>
    </xf>
    <xf numFmtId="0" fontId="3" fillId="16" borderId="15" xfId="0" applyFont="1" applyFill="1" applyBorder="1" applyAlignment="1"/>
    <xf numFmtId="0" fontId="6" fillId="0" borderId="29" xfId="0" applyFont="1" applyBorder="1" applyAlignment="1">
      <alignment wrapText="1"/>
    </xf>
    <xf numFmtId="0" fontId="6" fillId="14" borderId="39" xfId="0" applyFont="1" applyFill="1" applyBorder="1" applyAlignment="1">
      <alignment wrapText="1"/>
    </xf>
    <xf numFmtId="0" fontId="2" fillId="11" borderId="40" xfId="0" applyFont="1" applyFill="1" applyBorder="1" applyAlignment="1"/>
    <xf numFmtId="0" fontId="21" fillId="19" borderId="0" xfId="0" applyFont="1" applyFill="1" applyAlignment="1"/>
    <xf numFmtId="0" fontId="0" fillId="19" borderId="0" xfId="0" applyFont="1" applyFill="1" applyAlignment="1"/>
    <xf numFmtId="0" fontId="0" fillId="16" borderId="0" xfId="0" applyFont="1" applyFill="1" applyAlignment="1"/>
    <xf numFmtId="0" fontId="7" fillId="16" borderId="0" xfId="0" applyFont="1" applyFill="1" applyAlignment="1">
      <alignment wrapText="1"/>
    </xf>
    <xf numFmtId="0" fontId="4" fillId="16" borderId="0" xfId="0" applyFont="1" applyFill="1" applyAlignment="1"/>
    <xf numFmtId="0" fontId="2" fillId="0" borderId="43" xfId="0" applyFont="1" applyFill="1" applyBorder="1" applyAlignment="1">
      <alignment horizontal="left"/>
    </xf>
    <xf numFmtId="0" fontId="2" fillId="0" borderId="44" xfId="0" applyFont="1" applyFill="1" applyBorder="1" applyAlignment="1">
      <alignment horizontal="left"/>
    </xf>
    <xf numFmtId="0" fontId="32" fillId="0" borderId="0" xfId="0" applyFont="1" applyAlignment="1"/>
    <xf numFmtId="0" fontId="1" fillId="3" borderId="1" xfId="0" applyFont="1" applyFill="1" applyBorder="1" applyAlignment="1">
      <alignment horizontal="left"/>
    </xf>
    <xf numFmtId="0" fontId="1" fillId="3" borderId="2" xfId="0" applyFont="1" applyFill="1" applyBorder="1" applyAlignment="1">
      <alignment horizontal="left"/>
    </xf>
    <xf numFmtId="0" fontId="1" fillId="3" borderId="45" xfId="0" applyFont="1" applyFill="1" applyBorder="1" applyAlignment="1">
      <alignment horizontal="left"/>
    </xf>
    <xf numFmtId="0" fontId="0" fillId="0" borderId="43" xfId="0" applyFont="1" applyFill="1" applyBorder="1" applyAlignment="1">
      <alignment wrapText="1"/>
    </xf>
    <xf numFmtId="0" fontId="2" fillId="0" borderId="43" xfId="0" applyFont="1" applyFill="1" applyBorder="1" applyAlignment="1"/>
    <xf numFmtId="0" fontId="4" fillId="0" borderId="43" xfId="0" applyFont="1" applyFill="1" applyBorder="1" applyAlignment="1"/>
    <xf numFmtId="4" fontId="4" fillId="0" borderId="43" xfId="0" applyNumberFormat="1" applyFont="1" applyFill="1" applyBorder="1" applyAlignment="1"/>
    <xf numFmtId="2" fontId="4" fillId="0" borderId="43" xfId="0" applyNumberFormat="1" applyFont="1" applyFill="1" applyBorder="1" applyAlignment="1"/>
    <xf numFmtId="2" fontId="4" fillId="0" borderId="43" xfId="0" applyNumberFormat="1" applyFont="1" applyFill="1" applyBorder="1" applyAlignment="1">
      <alignment horizontal="right"/>
    </xf>
    <xf numFmtId="0" fontId="2" fillId="0" borderId="44" xfId="0" applyFont="1" applyFill="1" applyBorder="1" applyAlignment="1"/>
    <xf numFmtId="0" fontId="0" fillId="0" borderId="44" xfId="0" applyFont="1" applyFill="1" applyBorder="1" applyAlignment="1">
      <alignment wrapText="1"/>
    </xf>
    <xf numFmtId="4" fontId="4" fillId="0" borderId="44" xfId="0" applyNumberFormat="1" applyFont="1" applyFill="1" applyBorder="1" applyAlignment="1"/>
    <xf numFmtId="0" fontId="4" fillId="0" borderId="44" xfId="0" applyFont="1" applyFill="1" applyBorder="1" applyAlignment="1"/>
    <xf numFmtId="0" fontId="10" fillId="0" borderId="44" xfId="0" applyFont="1" applyFill="1" applyBorder="1" applyAlignment="1"/>
    <xf numFmtId="0" fontId="10" fillId="0" borderId="43" xfId="0" applyFont="1" applyFill="1" applyBorder="1" applyAlignment="1"/>
    <xf numFmtId="0" fontId="0" fillId="16" borderId="15" xfId="0" applyFont="1" applyFill="1" applyBorder="1" applyAlignment="1"/>
    <xf numFmtId="0" fontId="0" fillId="16" borderId="0" xfId="0" applyFont="1" applyFill="1" applyAlignment="1">
      <alignment wrapText="1"/>
    </xf>
    <xf numFmtId="0" fontId="0" fillId="16" borderId="0" xfId="0" applyFont="1" applyFill="1" applyAlignment="1"/>
    <xf numFmtId="0" fontId="1" fillId="3" borderId="1" xfId="0" applyFont="1" applyFill="1" applyBorder="1" applyAlignment="1">
      <alignment horizontal="center"/>
    </xf>
    <xf numFmtId="0" fontId="1" fillId="3" borderId="50" xfId="0" applyFont="1" applyFill="1" applyBorder="1" applyAlignment="1">
      <alignment horizontal="center"/>
    </xf>
    <xf numFmtId="0" fontId="1" fillId="3" borderId="51" xfId="0" applyFont="1" applyFill="1" applyBorder="1" applyAlignment="1">
      <alignment horizontal="center"/>
    </xf>
    <xf numFmtId="0" fontId="1" fillId="3" borderId="3" xfId="0" applyFont="1" applyFill="1" applyBorder="1" applyAlignment="1">
      <alignment horizontal="center"/>
    </xf>
    <xf numFmtId="0" fontId="1" fillId="3" borderId="2" xfId="0" applyFont="1" applyFill="1" applyBorder="1" applyAlignment="1">
      <alignment horizontal="center"/>
    </xf>
    <xf numFmtId="0" fontId="0" fillId="0" borderId="12" xfId="0" applyNumberFormat="1" applyFont="1" applyBorder="1" applyAlignment="1">
      <alignment horizontal="right" wrapText="1"/>
    </xf>
    <xf numFmtId="0" fontId="11" fillId="0" borderId="52" xfId="0" applyFont="1" applyBorder="1" applyAlignment="1">
      <alignment wrapText="1"/>
    </xf>
    <xf numFmtId="10" fontId="2" fillId="0" borderId="24" xfId="0" applyNumberFormat="1" applyFont="1" applyBorder="1" applyAlignment="1">
      <alignment wrapText="1"/>
    </xf>
    <xf numFmtId="0" fontId="6" fillId="14" borderId="54" xfId="0" applyFont="1" applyFill="1" applyBorder="1" applyAlignment="1">
      <alignment wrapText="1"/>
    </xf>
    <xf numFmtId="0" fontId="2" fillId="11" borderId="55" xfId="0" applyFont="1" applyFill="1" applyBorder="1" applyAlignment="1"/>
    <xf numFmtId="0" fontId="6" fillId="14" borderId="57" xfId="0" applyFont="1" applyFill="1" applyBorder="1" applyAlignment="1">
      <alignment wrapText="1"/>
    </xf>
    <xf numFmtId="0" fontId="2" fillId="11" borderId="58" xfId="0" applyFont="1" applyFill="1" applyBorder="1" applyAlignment="1"/>
    <xf numFmtId="0" fontId="6" fillId="0" borderId="59" xfId="0" applyFont="1" applyBorder="1" applyAlignment="1">
      <alignment wrapText="1"/>
    </xf>
    <xf numFmtId="0" fontId="4" fillId="0" borderId="60" xfId="0" applyFont="1" applyBorder="1" applyAlignment="1"/>
    <xf numFmtId="4" fontId="6" fillId="0" borderId="60" xfId="0" applyNumberFormat="1" applyFont="1" applyBorder="1" applyAlignment="1"/>
    <xf numFmtId="0" fontId="6" fillId="0" borderId="52" xfId="0" applyFont="1" applyBorder="1" applyAlignment="1">
      <alignment wrapText="1"/>
    </xf>
    <xf numFmtId="4" fontId="11" fillId="0" borderId="52" xfId="0" applyNumberFormat="1" applyFont="1" applyBorder="1" applyAlignment="1"/>
    <xf numFmtId="4" fontId="6" fillId="0" borderId="52" xfId="0" applyNumberFormat="1" applyFont="1" applyBorder="1" applyAlignment="1"/>
    <xf numFmtId="0" fontId="6" fillId="0" borderId="52" xfId="0" applyFont="1" applyBorder="1" applyAlignment="1"/>
    <xf numFmtId="0" fontId="6" fillId="7" borderId="52" xfId="0" applyFont="1" applyFill="1" applyBorder="1" applyAlignment="1">
      <alignment horizontal="left"/>
    </xf>
    <xf numFmtId="4" fontId="11" fillId="0" borderId="61" xfId="0" applyNumberFormat="1" applyFont="1" applyBorder="1" applyAlignment="1">
      <alignment horizontal="right" wrapText="1"/>
    </xf>
    <xf numFmtId="0" fontId="4" fillId="0" borderId="62" xfId="0" applyFont="1" applyBorder="1" applyAlignment="1"/>
    <xf numFmtId="0" fontId="6" fillId="0" borderId="62" xfId="0" applyFont="1" applyBorder="1"/>
    <xf numFmtId="0" fontId="2" fillId="0" borderId="62" xfId="0" applyFont="1" applyBorder="1" applyAlignment="1"/>
    <xf numFmtId="4" fontId="6" fillId="0" borderId="52" xfId="0" applyNumberFormat="1" applyFont="1" applyBorder="1" applyAlignment="1">
      <alignment wrapText="1"/>
    </xf>
    <xf numFmtId="4" fontId="6" fillId="0" borderId="28" xfId="0" applyNumberFormat="1" applyFont="1" applyBorder="1" applyAlignment="1">
      <alignment wrapText="1"/>
    </xf>
    <xf numFmtId="2" fontId="6" fillId="7" borderId="31" xfId="0" applyNumberFormat="1" applyFont="1" applyFill="1" applyBorder="1" applyAlignment="1">
      <alignment horizontal="right" wrapText="1"/>
    </xf>
    <xf numFmtId="2" fontId="6" fillId="0" borderId="52" xfId="0" applyNumberFormat="1" applyFont="1" applyBorder="1" applyAlignment="1">
      <alignment wrapText="1"/>
    </xf>
    <xf numFmtId="2" fontId="6" fillId="0" borderId="32" xfId="0" applyNumberFormat="1" applyFont="1" applyBorder="1" applyAlignment="1"/>
    <xf numFmtId="2" fontId="6" fillId="0" borderId="0" xfId="0" applyNumberFormat="1" applyFont="1" applyAlignment="1"/>
    <xf numFmtId="2" fontId="6" fillId="0" borderId="32" xfId="0" applyNumberFormat="1" applyFont="1" applyBorder="1" applyAlignment="1">
      <alignment wrapText="1"/>
    </xf>
    <xf numFmtId="2" fontId="6" fillId="0" borderId="38" xfId="0" applyNumberFormat="1" applyFont="1" applyBorder="1" applyAlignment="1">
      <alignment wrapText="1"/>
    </xf>
    <xf numFmtId="2" fontId="6" fillId="0" borderId="52" xfId="0" applyNumberFormat="1" applyFont="1" applyBorder="1" applyAlignment="1">
      <alignment horizontal="right" wrapText="1"/>
    </xf>
    <xf numFmtId="2" fontId="6" fillId="0" borderId="31" xfId="0" applyNumberFormat="1" applyFont="1" applyBorder="1" applyAlignment="1">
      <alignment wrapText="1"/>
    </xf>
    <xf numFmtId="2" fontId="6" fillId="0" borderId="31" xfId="0" applyNumberFormat="1" applyFont="1" applyBorder="1"/>
    <xf numFmtId="2" fontId="6" fillId="14" borderId="41" xfId="0" applyNumberFormat="1" applyFont="1" applyFill="1" applyBorder="1" applyAlignment="1"/>
    <xf numFmtId="2" fontId="6" fillId="0" borderId="52" xfId="0" applyNumberFormat="1" applyFont="1" applyBorder="1"/>
    <xf numFmtId="0" fontId="2" fillId="0" borderId="0" xfId="0" applyFont="1" applyFill="1" applyAlignment="1"/>
    <xf numFmtId="0" fontId="2" fillId="0" borderId="15" xfId="0" applyFont="1" applyFill="1" applyBorder="1" applyAlignment="1"/>
    <xf numFmtId="0" fontId="2" fillId="0" borderId="15" xfId="0" applyFont="1" applyFill="1" applyBorder="1" applyAlignment="1">
      <alignment wrapText="1"/>
    </xf>
    <xf numFmtId="0" fontId="0" fillId="0" borderId="15" xfId="0" applyFont="1" applyFill="1" applyBorder="1" applyAlignment="1"/>
    <xf numFmtId="0" fontId="7" fillId="21" borderId="8" xfId="0" applyFont="1" applyFill="1" applyBorder="1" applyAlignment="1">
      <alignment wrapText="1"/>
    </xf>
    <xf numFmtId="0" fontId="4" fillId="22" borderId="4" xfId="0" applyFont="1" applyFill="1" applyBorder="1" applyAlignment="1"/>
    <xf numFmtId="0" fontId="4" fillId="22" borderId="5" xfId="0" applyFont="1" applyFill="1" applyBorder="1" applyAlignment="1"/>
    <xf numFmtId="0" fontId="1" fillId="3" borderId="17" xfId="0" applyFont="1" applyFill="1" applyBorder="1" applyAlignment="1"/>
    <xf numFmtId="0" fontId="1" fillId="3" borderId="19" xfId="0" applyFont="1" applyFill="1" applyBorder="1" applyAlignment="1"/>
    <xf numFmtId="0" fontId="1" fillId="3" borderId="18" xfId="0" applyFont="1" applyFill="1" applyBorder="1" applyAlignment="1"/>
    <xf numFmtId="0" fontId="2" fillId="0" borderId="43" xfId="0" applyFont="1" applyBorder="1" applyAlignment="1"/>
    <xf numFmtId="0" fontId="2" fillId="0" borderId="43" xfId="0" applyFont="1" applyBorder="1" applyAlignment="1">
      <alignment horizontal="left"/>
    </xf>
    <xf numFmtId="0" fontId="4" fillId="0" borderId="43" xfId="0" applyFont="1" applyBorder="1" applyAlignment="1"/>
    <xf numFmtId="3" fontId="2" fillId="0" borderId="43" xfId="0" applyNumberFormat="1" applyFont="1" applyBorder="1" applyAlignment="1">
      <alignment horizontal="right" wrapText="1"/>
    </xf>
    <xf numFmtId="0" fontId="28" fillId="0" borderId="15" xfId="1" applyBorder="1" applyAlignment="1">
      <alignment wrapText="1"/>
    </xf>
    <xf numFmtId="0" fontId="11" fillId="10" borderId="0" xfId="0" applyFont="1" applyFill="1" applyAlignment="1"/>
    <xf numFmtId="4" fontId="0" fillId="0" borderId="0" xfId="0" applyNumberFormat="1" applyFont="1" applyFill="1" applyAlignment="1"/>
    <xf numFmtId="0" fontId="7" fillId="22" borderId="33" xfId="0" applyFont="1" applyFill="1" applyBorder="1" applyAlignment="1">
      <alignment wrapText="1"/>
    </xf>
    <xf numFmtId="0" fontId="24" fillId="22" borderId="15" xfId="0" applyFont="1" applyFill="1" applyBorder="1" applyAlignment="1">
      <alignment wrapText="1"/>
    </xf>
    <xf numFmtId="0" fontId="7" fillId="22" borderId="15" xfId="0" applyFont="1" applyFill="1" applyBorder="1" applyAlignment="1">
      <alignment wrapText="1"/>
    </xf>
    <xf numFmtId="0" fontId="25" fillId="22" borderId="15" xfId="0" applyFont="1" applyFill="1" applyBorder="1" applyAlignment="1">
      <alignment wrapText="1"/>
    </xf>
    <xf numFmtId="0" fontId="33" fillId="8" borderId="15" xfId="0" applyFont="1" applyFill="1" applyBorder="1" applyAlignment="1">
      <alignment wrapText="1"/>
    </xf>
    <xf numFmtId="0" fontId="33" fillId="22" borderId="15" xfId="0" applyFont="1" applyFill="1" applyBorder="1" applyAlignment="1">
      <alignment wrapText="1"/>
    </xf>
    <xf numFmtId="0" fontId="11" fillId="23" borderId="33" xfId="0" applyFont="1" applyFill="1" applyBorder="1" applyAlignment="1">
      <alignment wrapText="1"/>
    </xf>
    <xf numFmtId="0" fontId="11" fillId="23" borderId="15" xfId="0" applyFont="1" applyFill="1" applyBorder="1" applyAlignment="1">
      <alignment wrapText="1"/>
    </xf>
    <xf numFmtId="0" fontId="11" fillId="23" borderId="0" xfId="0" applyFont="1" applyFill="1" applyAlignment="1">
      <alignment wrapText="1"/>
    </xf>
    <xf numFmtId="0" fontId="11" fillId="23" borderId="35" xfId="0" applyFont="1" applyFill="1" applyBorder="1" applyAlignment="1">
      <alignment wrapText="1"/>
    </xf>
    <xf numFmtId="0" fontId="6" fillId="22" borderId="15" xfId="0" applyFont="1" applyFill="1" applyBorder="1" applyAlignment="1">
      <alignment wrapText="1"/>
    </xf>
    <xf numFmtId="0" fontId="12" fillId="22" borderId="15" xfId="0" applyFont="1" applyFill="1" applyBorder="1" applyAlignment="1">
      <alignment wrapText="1"/>
    </xf>
    <xf numFmtId="0" fontId="6" fillId="8" borderId="15" xfId="0" applyFont="1" applyFill="1" applyBorder="1" applyAlignment="1">
      <alignment wrapText="1"/>
    </xf>
    <xf numFmtId="0" fontId="6" fillId="24" borderId="15" xfId="0" applyFont="1" applyFill="1" applyBorder="1" applyAlignment="1">
      <alignment wrapText="1"/>
    </xf>
    <xf numFmtId="0" fontId="6" fillId="23" borderId="33" xfId="0" applyFont="1" applyFill="1" applyBorder="1" applyAlignment="1">
      <alignment wrapText="1"/>
    </xf>
    <xf numFmtId="0" fontId="6" fillId="23" borderId="15" xfId="0" applyFont="1" applyFill="1" applyBorder="1" applyAlignment="1">
      <alignment wrapText="1"/>
    </xf>
    <xf numFmtId="0" fontId="6" fillId="22" borderId="33" xfId="0" applyFont="1" applyFill="1" applyBorder="1" applyAlignment="1">
      <alignment wrapText="1"/>
    </xf>
    <xf numFmtId="0" fontId="6" fillId="0" borderId="15" xfId="0" applyFont="1" applyFill="1" applyBorder="1" applyAlignment="1"/>
    <xf numFmtId="0" fontId="6" fillId="11" borderId="15" xfId="0" applyFont="1" applyFill="1" applyBorder="1" applyAlignment="1"/>
    <xf numFmtId="10" fontId="27" fillId="0" borderId="10" xfId="2" applyNumberFormat="1" applyFont="1" applyBorder="1" applyAlignment="1">
      <alignment horizontal="right" wrapText="1"/>
    </xf>
    <xf numFmtId="10" fontId="27" fillId="0" borderId="23" xfId="2" applyNumberFormat="1" applyFont="1" applyBorder="1" applyAlignment="1">
      <alignment wrapText="1"/>
    </xf>
    <xf numFmtId="2" fontId="27" fillId="0" borderId="10" xfId="0" applyNumberFormat="1" applyFont="1" applyBorder="1" applyAlignment="1">
      <alignment horizontal="right" wrapText="1"/>
    </xf>
    <xf numFmtId="3" fontId="6" fillId="0" borderId="31" xfId="0" applyNumberFormat="1" applyFont="1" applyBorder="1"/>
    <xf numFmtId="3" fontId="6" fillId="0" borderId="52" xfId="0" applyNumberFormat="1" applyFont="1" applyBorder="1"/>
    <xf numFmtId="3" fontId="6" fillId="14" borderId="41" xfId="0" applyNumberFormat="1" applyFont="1" applyFill="1" applyBorder="1" applyAlignment="1"/>
    <xf numFmtId="3" fontId="6" fillId="14" borderId="56" xfId="0" applyNumberFormat="1" applyFont="1" applyFill="1" applyBorder="1" applyAlignment="1"/>
    <xf numFmtId="3" fontId="6" fillId="14" borderId="53" xfId="0" applyNumberFormat="1" applyFont="1" applyFill="1" applyBorder="1" applyAlignment="1"/>
    <xf numFmtId="3" fontId="6" fillId="0" borderId="32" xfId="0" applyNumberFormat="1" applyFont="1" applyBorder="1" applyAlignment="1">
      <alignment wrapText="1"/>
    </xf>
    <xf numFmtId="3" fontId="6" fillId="0" borderId="38" xfId="0" applyNumberFormat="1" applyFont="1" applyBorder="1" applyAlignment="1">
      <alignment wrapText="1"/>
    </xf>
    <xf numFmtId="3" fontId="6" fillId="0" borderId="31" xfId="0" applyNumberFormat="1" applyFont="1" applyBorder="1" applyAlignment="1">
      <alignment wrapText="1"/>
    </xf>
    <xf numFmtId="3" fontId="6" fillId="0" borderId="52" xfId="0" applyNumberFormat="1" applyFont="1" applyBorder="1" applyAlignment="1">
      <alignment horizontal="right" wrapText="1"/>
    </xf>
    <xf numFmtId="3" fontId="6" fillId="0" borderId="32" xfId="0" applyNumberFormat="1" applyFont="1" applyBorder="1" applyAlignment="1"/>
    <xf numFmtId="3" fontId="6" fillId="0" borderId="0" xfId="0" applyNumberFormat="1" applyFont="1" applyAlignment="1"/>
    <xf numFmtId="4" fontId="6" fillId="7" borderId="31" xfId="0" applyNumberFormat="1" applyFont="1" applyFill="1" applyBorder="1" applyAlignment="1">
      <alignment horizontal="right" wrapText="1"/>
    </xf>
    <xf numFmtId="0" fontId="1" fillId="0" borderId="15" xfId="0" applyFont="1" applyFill="1" applyBorder="1" applyAlignment="1">
      <alignment horizontal="center"/>
    </xf>
    <xf numFmtId="0" fontId="4" fillId="0" borderId="15" xfId="0" applyFont="1" applyFill="1" applyBorder="1" applyAlignment="1"/>
    <xf numFmtId="0" fontId="2" fillId="25" borderId="0" xfId="0" applyFont="1" applyFill="1"/>
    <xf numFmtId="0" fontId="3" fillId="26" borderId="15" xfId="0" applyFont="1" applyFill="1" applyBorder="1" applyAlignment="1">
      <alignment wrapText="1"/>
    </xf>
    <xf numFmtId="0" fontId="3" fillId="27" borderId="15" xfId="0" applyFont="1" applyFill="1" applyBorder="1" applyAlignment="1"/>
    <xf numFmtId="165" fontId="20" fillId="26" borderId="15" xfId="0" applyNumberFormat="1" applyFont="1" applyFill="1" applyBorder="1" applyAlignment="1"/>
    <xf numFmtId="0" fontId="6" fillId="0" borderId="54" xfId="0" applyFont="1" applyFill="1" applyBorder="1" applyAlignment="1">
      <alignment wrapText="1"/>
    </xf>
    <xf numFmtId="0" fontId="2" fillId="0" borderId="55" xfId="0" applyFont="1" applyFill="1" applyBorder="1" applyAlignment="1"/>
    <xf numFmtId="2" fontId="6" fillId="0" borderId="56" xfId="0" applyNumberFormat="1" applyFont="1" applyFill="1" applyBorder="1" applyAlignment="1"/>
    <xf numFmtId="0" fontId="6" fillId="0" borderId="57" xfId="0" applyFont="1" applyFill="1" applyBorder="1" applyAlignment="1">
      <alignment wrapText="1"/>
    </xf>
    <xf numFmtId="0" fontId="2" fillId="0" borderId="58" xfId="0" applyFont="1" applyFill="1" applyBorder="1" applyAlignment="1"/>
    <xf numFmtId="2" fontId="6" fillId="0" borderId="53" xfId="0" applyNumberFormat="1" applyFont="1" applyFill="1" applyBorder="1" applyAlignment="1"/>
    <xf numFmtId="0" fontId="1" fillId="3" borderId="18" xfId="0" applyFont="1" applyFill="1" applyBorder="1" applyAlignment="1"/>
    <xf numFmtId="0" fontId="27" fillId="0" borderId="15" xfId="0" applyFont="1" applyBorder="1" applyAlignment="1">
      <alignment wrapText="1"/>
    </xf>
    <xf numFmtId="0" fontId="27" fillId="0" borderId="15" xfId="0" applyFont="1" applyBorder="1" applyAlignment="1"/>
    <xf numFmtId="0" fontId="34" fillId="0" borderId="43" xfId="0" applyFont="1" applyBorder="1" applyAlignment="1">
      <alignment wrapText="1"/>
    </xf>
    <xf numFmtId="3" fontId="2" fillId="0" borderId="43" xfId="0" applyNumberFormat="1" applyFont="1" applyBorder="1" applyAlignment="1">
      <alignment wrapText="1"/>
    </xf>
    <xf numFmtId="0" fontId="2" fillId="0" borderId="43" xfId="0" applyFont="1" applyBorder="1" applyAlignment="1">
      <alignment wrapText="1"/>
    </xf>
    <xf numFmtId="10" fontId="29" fillId="0" borderId="43" xfId="0" applyNumberFormat="1" applyFont="1" applyBorder="1" applyAlignment="1"/>
    <xf numFmtId="0" fontId="10" fillId="0" borderId="43" xfId="0" applyFont="1" applyBorder="1" applyAlignment="1"/>
    <xf numFmtId="3" fontId="2" fillId="0" borderId="43" xfId="0" applyNumberFormat="1" applyFont="1" applyBorder="1" applyAlignment="1"/>
    <xf numFmtId="0" fontId="29" fillId="0" borderId="43" xfId="0" applyFont="1" applyBorder="1" applyAlignment="1"/>
    <xf numFmtId="0" fontId="0" fillId="0" borderId="43" xfId="0" applyFont="1" applyBorder="1" applyAlignment="1"/>
    <xf numFmtId="3" fontId="2" fillId="0" borderId="43" xfId="0" applyNumberFormat="1" applyFont="1" applyBorder="1" applyAlignment="1">
      <alignment horizontal="right"/>
    </xf>
    <xf numFmtId="0" fontId="2" fillId="0" borderId="43" xfId="0" applyFont="1" applyBorder="1" applyAlignment="1"/>
    <xf numFmtId="2" fontId="2" fillId="0" borderId="43" xfId="0" applyNumberFormat="1" applyFont="1" applyBorder="1" applyAlignment="1"/>
    <xf numFmtId="3" fontId="0" fillId="0" borderId="43" xfId="0" applyNumberFormat="1" applyFont="1" applyBorder="1" applyAlignment="1"/>
    <xf numFmtId="0" fontId="34" fillId="0" borderId="43" xfId="1" applyFont="1" applyBorder="1" applyAlignment="1">
      <alignment wrapText="1"/>
    </xf>
    <xf numFmtId="4" fontId="10" fillId="0" borderId="43" xfId="0" applyNumberFormat="1" applyFont="1" applyBorder="1" applyAlignment="1"/>
    <xf numFmtId="10" fontId="2" fillId="0" borderId="43" xfId="0" applyNumberFormat="1" applyFont="1" applyBorder="1" applyAlignment="1"/>
    <xf numFmtId="4" fontId="10" fillId="0" borderId="43" xfId="0" applyNumberFormat="1" applyFont="1" applyBorder="1"/>
    <xf numFmtId="4" fontId="0" fillId="0" borderId="43" xfId="0" applyNumberFormat="1" applyFont="1" applyBorder="1" applyAlignment="1"/>
    <xf numFmtId="3" fontId="10" fillId="0" borderId="43" xfId="0" applyNumberFormat="1" applyFont="1" applyBorder="1" applyAlignment="1"/>
    <xf numFmtId="3" fontId="29" fillId="0" borderId="43" xfId="0" applyNumberFormat="1" applyFont="1" applyBorder="1" applyAlignment="1"/>
    <xf numFmtId="165" fontId="29" fillId="0" borderId="43" xfId="0" applyNumberFormat="1" applyFont="1" applyBorder="1" applyAlignment="1"/>
    <xf numFmtId="165" fontId="30" fillId="0" borderId="43" xfId="0" applyNumberFormat="1" applyFont="1" applyBorder="1" applyAlignment="1"/>
    <xf numFmtId="10" fontId="30" fillId="0" borderId="43" xfId="0" applyNumberFormat="1" applyFont="1" applyBorder="1" applyAlignment="1"/>
    <xf numFmtId="165" fontId="29" fillId="0" borderId="46" xfId="0" applyNumberFormat="1" applyFont="1" applyBorder="1" applyAlignment="1"/>
    <xf numFmtId="165" fontId="29" fillId="0" borderId="63" xfId="0" applyNumberFormat="1" applyFont="1" applyBorder="1" applyAlignment="1"/>
    <xf numFmtId="0" fontId="34" fillId="0" borderId="63" xfId="0" applyFont="1" applyBorder="1" applyAlignment="1">
      <alignment wrapText="1"/>
    </xf>
    <xf numFmtId="0" fontId="34" fillId="0" borderId="46" xfId="0" applyFont="1" applyBorder="1" applyAlignment="1">
      <alignment wrapText="1"/>
    </xf>
    <xf numFmtId="0" fontId="34" fillId="0" borderId="64" xfId="0" applyFont="1" applyBorder="1" applyAlignment="1">
      <alignment wrapText="1"/>
    </xf>
    <xf numFmtId="1" fontId="10" fillId="0" borderId="43" xfId="0" applyNumberFormat="1" applyFont="1" applyBorder="1" applyAlignment="1"/>
    <xf numFmtId="10" fontId="10" fillId="0" borderId="43" xfId="0" applyNumberFormat="1" applyFont="1" applyBorder="1" applyAlignment="1"/>
    <xf numFmtId="10" fontId="0" fillId="0" borderId="43" xfId="0" applyNumberFormat="1" applyFont="1" applyBorder="1" applyAlignment="1"/>
    <xf numFmtId="9" fontId="10" fillId="0" borderId="43" xfId="0" applyNumberFormat="1" applyFont="1" applyBorder="1" applyAlignment="1"/>
    <xf numFmtId="9" fontId="0" fillId="0" borderId="43" xfId="0" applyNumberFormat="1" applyFont="1" applyBorder="1" applyAlignment="1"/>
    <xf numFmtId="0" fontId="34" fillId="11" borderId="43" xfId="0" applyFont="1" applyFill="1" applyBorder="1" applyAlignment="1">
      <alignment wrapText="1"/>
    </xf>
    <xf numFmtId="165" fontId="10" fillId="0" borderId="43" xfId="0" applyNumberFormat="1" applyFont="1" applyBorder="1" applyAlignment="1"/>
    <xf numFmtId="3" fontId="10" fillId="0" borderId="43" xfId="0" applyNumberFormat="1" applyFont="1" applyBorder="1" applyAlignment="1">
      <alignment horizontal="right" wrapText="1"/>
    </xf>
    <xf numFmtId="0" fontId="10" fillId="0" borderId="43" xfId="0" applyFont="1" applyBorder="1" applyAlignment="1">
      <alignment horizontal="right"/>
    </xf>
    <xf numFmtId="3" fontId="10" fillId="0" borderId="43" xfId="0" applyNumberFormat="1" applyFont="1" applyBorder="1" applyAlignment="1">
      <alignment horizontal="right"/>
    </xf>
    <xf numFmtId="10" fontId="30" fillId="0" borderId="43" xfId="0" applyNumberFormat="1" applyFont="1" applyBorder="1" applyAlignment="1">
      <alignment horizontal="right"/>
    </xf>
    <xf numFmtId="166" fontId="30" fillId="0" borderId="43" xfId="0" applyNumberFormat="1" applyFont="1" applyBorder="1" applyAlignment="1">
      <alignment horizontal="right"/>
    </xf>
    <xf numFmtId="165" fontId="10" fillId="0" borderId="43" xfId="0" applyNumberFormat="1" applyFont="1" applyBorder="1" applyAlignment="1">
      <alignment horizontal="right"/>
    </xf>
    <xf numFmtId="165" fontId="0" fillId="0" borderId="43" xfId="0" applyNumberFormat="1" applyFont="1" applyBorder="1" applyAlignment="1">
      <alignment horizontal="right"/>
    </xf>
    <xf numFmtId="0" fontId="29" fillId="0" borderId="43" xfId="0" applyFont="1" applyBorder="1" applyAlignment="1">
      <alignment horizontal="right"/>
    </xf>
    <xf numFmtId="4" fontId="29" fillId="0" borderId="43" xfId="0" applyNumberFormat="1" applyFont="1" applyBorder="1" applyAlignment="1">
      <alignment horizontal="right"/>
    </xf>
    <xf numFmtId="0" fontId="34" fillId="0" borderId="66" xfId="0" applyFont="1" applyFill="1" applyBorder="1" applyAlignment="1">
      <alignment wrapText="1"/>
    </xf>
    <xf numFmtId="165" fontId="10" fillId="0" borderId="66" xfId="0" applyNumberFormat="1" applyFont="1" applyBorder="1" applyAlignment="1"/>
    <xf numFmtId="0" fontId="34" fillId="0" borderId="65" xfId="0" applyFont="1" applyFill="1" applyBorder="1" applyAlignment="1">
      <alignment wrapText="1"/>
    </xf>
    <xf numFmtId="165" fontId="10" fillId="0" borderId="66" xfId="0" applyNumberFormat="1" applyFont="1" applyBorder="1"/>
    <xf numFmtId="165" fontId="2" fillId="0" borderId="65" xfId="0" applyNumberFormat="1" applyFont="1" applyBorder="1"/>
    <xf numFmtId="0" fontId="34" fillId="0" borderId="67" xfId="0" applyFont="1" applyFill="1" applyBorder="1" applyAlignment="1">
      <alignment wrapText="1"/>
    </xf>
    <xf numFmtId="0" fontId="34" fillId="0" borderId="67" xfId="0" applyFont="1" applyBorder="1" applyAlignment="1">
      <alignment wrapText="1"/>
    </xf>
    <xf numFmtId="165" fontId="2" fillId="0" borderId="67" xfId="0" applyNumberFormat="1" applyFont="1" applyBorder="1"/>
    <xf numFmtId="0" fontId="34" fillId="0" borderId="67" xfId="0" applyFont="1" applyBorder="1" applyAlignment="1"/>
    <xf numFmtId="165" fontId="2" fillId="0" borderId="66" xfId="0" applyNumberFormat="1" applyFont="1" applyBorder="1"/>
    <xf numFmtId="0" fontId="34" fillId="0" borderId="68" xfId="0" applyFont="1" applyBorder="1" applyAlignment="1">
      <alignment wrapText="1"/>
    </xf>
    <xf numFmtId="165" fontId="2" fillId="0" borderId="69" xfId="0" applyNumberFormat="1" applyFont="1" applyBorder="1"/>
    <xf numFmtId="0" fontId="6" fillId="22" borderId="70" xfId="0" applyFont="1" applyFill="1" applyBorder="1" applyAlignment="1">
      <alignment wrapText="1"/>
    </xf>
    <xf numFmtId="0" fontId="33" fillId="22" borderId="71" xfId="0" applyFont="1" applyFill="1" applyBorder="1" applyAlignment="1">
      <alignment wrapText="1"/>
    </xf>
    <xf numFmtId="0" fontId="34" fillId="0" borderId="72" xfId="0" applyFont="1" applyFill="1" applyBorder="1" applyAlignment="1">
      <alignment wrapText="1"/>
    </xf>
    <xf numFmtId="165" fontId="2" fillId="0" borderId="73" xfId="0" applyNumberFormat="1" applyFont="1" applyBorder="1"/>
    <xf numFmtId="0" fontId="34" fillId="0" borderId="74" xfId="0" applyFont="1" applyFill="1" applyBorder="1" applyAlignment="1">
      <alignment wrapText="1"/>
    </xf>
    <xf numFmtId="165" fontId="2" fillId="0" borderId="75" xfId="0" applyNumberFormat="1" applyFont="1" applyBorder="1"/>
    <xf numFmtId="0" fontId="6" fillId="8" borderId="70" xfId="0" applyFont="1" applyFill="1" applyBorder="1" applyAlignment="1">
      <alignment wrapText="1"/>
    </xf>
    <xf numFmtId="0" fontId="33" fillId="8" borderId="71" xfId="0" applyFont="1" applyFill="1" applyBorder="1" applyAlignment="1">
      <alignment wrapText="1"/>
    </xf>
    <xf numFmtId="0" fontId="34" fillId="0" borderId="76" xfId="0" applyFont="1" applyFill="1" applyBorder="1" applyAlignment="1">
      <alignment wrapText="1"/>
    </xf>
    <xf numFmtId="0" fontId="34" fillId="0" borderId="77" xfId="0" applyFont="1" applyBorder="1" applyAlignment="1">
      <alignment wrapText="1"/>
    </xf>
    <xf numFmtId="165" fontId="2" fillId="0" borderId="77" xfId="0" applyNumberFormat="1" applyFont="1" applyBorder="1" applyAlignment="1"/>
    <xf numFmtId="165" fontId="2" fillId="0" borderId="78" xfId="0" applyNumberFormat="1" applyFont="1" applyBorder="1" applyAlignment="1"/>
    <xf numFmtId="4" fontId="4" fillId="9" borderId="43" xfId="0" applyNumberFormat="1" applyFont="1" applyFill="1" applyBorder="1" applyAlignment="1"/>
    <xf numFmtId="0" fontId="2" fillId="9" borderId="43" xfId="0" applyFont="1" applyFill="1" applyBorder="1" applyAlignment="1">
      <alignment wrapText="1"/>
    </xf>
    <xf numFmtId="4" fontId="4" fillId="0" borderId="43" xfId="0" applyNumberFormat="1" applyFont="1" applyBorder="1" applyAlignment="1"/>
    <xf numFmtId="0" fontId="10" fillId="9" borderId="44" xfId="0" applyFont="1" applyFill="1" applyBorder="1" applyAlignment="1">
      <alignment wrapText="1"/>
    </xf>
    <xf numFmtId="4" fontId="4" fillId="9" borderId="44" xfId="0" applyNumberFormat="1" applyFont="1" applyFill="1" applyBorder="1" applyAlignment="1"/>
    <xf numFmtId="0" fontId="1" fillId="20" borderId="45" xfId="0" applyFont="1" applyFill="1" applyBorder="1" applyAlignment="1"/>
    <xf numFmtId="0" fontId="1" fillId="20" borderId="45" xfId="0" applyFont="1" applyFill="1" applyBorder="1" applyAlignment="1">
      <alignment wrapText="1"/>
    </xf>
    <xf numFmtId="0" fontId="2" fillId="0" borderId="44" xfId="0" applyFont="1" applyBorder="1" applyAlignment="1">
      <alignment wrapText="1"/>
    </xf>
    <xf numFmtId="4" fontId="4" fillId="0" borderId="44" xfId="0" applyNumberFormat="1" applyFont="1" applyBorder="1" applyAlignment="1"/>
    <xf numFmtId="0" fontId="34" fillId="0" borderId="47" xfId="0" applyFont="1" applyFill="1" applyBorder="1" applyAlignment="1">
      <alignment wrapText="1"/>
    </xf>
    <xf numFmtId="0" fontId="34" fillId="0" borderId="48" xfId="0" applyFont="1" applyFill="1" applyBorder="1" applyAlignment="1">
      <alignment wrapText="1"/>
    </xf>
    <xf numFmtId="0" fontId="34" fillId="0" borderId="49" xfId="0" applyFont="1" applyFill="1" applyBorder="1" applyAlignment="1">
      <alignment wrapText="1"/>
    </xf>
    <xf numFmtId="0" fontId="34" fillId="0" borderId="48" xfId="0" applyFont="1" applyFill="1" applyBorder="1" applyAlignment="1"/>
    <xf numFmtId="0" fontId="34" fillId="0" borderId="49" xfId="0" applyFont="1" applyFill="1" applyBorder="1" applyAlignment="1"/>
  </cellXfs>
  <cellStyles count="3">
    <cellStyle name="Hyperlink" xfId="1" builtinId="8"/>
    <cellStyle name="Normal" xfId="0" builtinId="0"/>
    <cellStyle name="Per cent" xfId="2" builtinId="5"/>
  </cellStyles>
  <dxfs count="0"/>
  <tableStyles count="0" defaultTableStyle="TableStyleMedium2" defaultPivotStyle="PivotStyleLight16"/>
  <colors>
    <mruColors>
      <color rgb="FF385B4E"/>
      <color rgb="FF397E63"/>
      <color rgb="FFF0EFF0"/>
      <color rgb="FFDAEBD3"/>
      <color rgb="FFA9D08E"/>
      <color rgb="FFD5FAB6"/>
      <color rgb="FF60963D"/>
      <color rgb="FF548235"/>
      <color rgb="FF73B549"/>
      <color rgb="FFB1E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rgbClr val="0D0D0D"/>
              </a:solidFill>
              <a:latin typeface="+mn-lt"/>
              <a:ea typeface="+mn-ea"/>
              <a:cs typeface="+mn-cs"/>
            </a:defRPr>
          </a:pPr>
          <a:endParaRPr lang="en-US"/>
        </a:p>
      </c:txPr>
    </c:title>
    <c:autoTitleDeleted val="0"/>
    <c:plotArea>
      <c:layout/>
      <c:barChart>
        <c:barDir val="col"/>
        <c:grouping val="clustered"/>
        <c:varyColors val="0"/>
        <c:ser>
          <c:idx val="0"/>
          <c:order val="0"/>
          <c:tx>
            <c:strRef>
              <c:f>'Data - Dashboard charts'!$D$6</c:f>
              <c:strCache>
                <c:ptCount val="1"/>
                <c:pt idx="0">
                  <c:v>Breakdown of costs to the public sector </c:v>
                </c:pt>
              </c:strCache>
            </c:strRef>
          </c:tx>
          <c:spPr>
            <a:solidFill>
              <a:srgbClr val="548235"/>
            </a:solidFill>
            <a:ln>
              <a:noFill/>
            </a:ln>
            <a:effectLst/>
          </c:spPr>
          <c:invertIfNegative val="0"/>
          <c:cat>
            <c:strRef>
              <c:f>'Data - Dashboard charts'!$C$7:$C$9</c:f>
              <c:strCache>
                <c:ptCount val="3"/>
                <c:pt idx="0">
                  <c:v>Total cost of welfare annually </c:v>
                </c:pt>
                <c:pt idx="1">
                  <c:v>Total average cost of police services annually</c:v>
                </c:pt>
                <c:pt idx="2">
                  <c:v>Total average amount of government support provided for healthcare services annually</c:v>
                </c:pt>
              </c:strCache>
            </c:strRef>
          </c:cat>
          <c:val>
            <c:numRef>
              <c:f>'Data - Dashboard charts'!$D$7:$D$9</c:f>
              <c:numCache>
                <c:formatCode>#,##0.00</c:formatCode>
                <c:ptCount val="3"/>
                <c:pt idx="0">
                  <c:v>1396165.3791428574</c:v>
                </c:pt>
                <c:pt idx="1">
                  <c:v>16215576</c:v>
                </c:pt>
                <c:pt idx="2">
                  <c:v>112408222.14089999</c:v>
                </c:pt>
              </c:numCache>
            </c:numRef>
          </c:val>
          <c:extLst>
            <c:ext xmlns:c16="http://schemas.microsoft.com/office/drawing/2014/chart" uri="{C3380CC4-5D6E-409C-BE32-E72D297353CC}">
              <c16:uniqueId val="{00000000-F64A-4B95-A278-0F6FB3A3AAD3}"/>
            </c:ext>
          </c:extLst>
        </c:ser>
        <c:dLbls>
          <c:showLegendKey val="0"/>
          <c:showVal val="0"/>
          <c:showCatName val="0"/>
          <c:showSerName val="0"/>
          <c:showPercent val="0"/>
          <c:showBubbleSize val="0"/>
        </c:dLbls>
        <c:gapWidth val="219"/>
        <c:overlap val="-27"/>
        <c:axId val="22590503"/>
        <c:axId val="22590919"/>
      </c:barChart>
      <c:catAx>
        <c:axId val="22590503"/>
        <c:scaling>
          <c:orientation val="minMax"/>
        </c:scaling>
        <c:delete val="0"/>
        <c:axPos val="b"/>
        <c:title>
          <c:tx>
            <c:rich>
              <a:bodyPr rot="0" spcFirstLastPara="1" vertOverflow="ellipsis" vert="horz" wrap="square" anchor="ctr" anchorCtr="1"/>
              <a:lstStyle/>
              <a:p>
                <a:pPr>
                  <a:defRPr sz="1000" b="0" i="0" u="none" strike="noStrike" kern="1200" baseline="0">
                    <a:solidFill>
                      <a:srgbClr val="0D0D0D"/>
                    </a:solidFill>
                    <a:latin typeface="+mn-lt"/>
                    <a:ea typeface="+mn-ea"/>
                    <a:cs typeface="+mn-cs"/>
                  </a:defRPr>
                </a:pPr>
                <a:r>
                  <a:rPr lang="en-US"/>
                  <a:t>Cost areas</a:t>
                </a:r>
              </a:p>
            </c:rich>
          </c:tx>
          <c:overlay val="0"/>
          <c:spPr>
            <a:noFill/>
            <a:ln>
              <a:noFill/>
            </a:ln>
            <a:effectLst/>
          </c:spPr>
          <c:txPr>
            <a:bodyPr rot="0" spcFirstLastPara="1" vertOverflow="ellipsis" vert="horz" wrap="square" anchor="ctr" anchorCtr="1"/>
            <a:lstStyle/>
            <a:p>
              <a:pPr>
                <a:defRPr sz="1000" b="0" i="0" u="none" strike="noStrike" kern="1200" baseline="0">
                  <a:solidFill>
                    <a:srgbClr val="0D0D0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22590919"/>
        <c:crosses val="autoZero"/>
        <c:auto val="1"/>
        <c:lblAlgn val="ctr"/>
        <c:lblOffset val="100"/>
        <c:noMultiLvlLbl val="0"/>
      </c:catAx>
      <c:valAx>
        <c:axId val="2259091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r>
                  <a:rPr lang="en-US"/>
                  <a:t>Amount ($)</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2259050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rgbClr val="0D0D0D"/>
              </a:solidFill>
              <a:latin typeface="+mn-lt"/>
              <a:ea typeface="+mn-ea"/>
              <a:cs typeface="+mn-cs"/>
            </a:defRPr>
          </a:pPr>
          <a:endParaRPr lang="en-US"/>
        </a:p>
      </c:txPr>
    </c:title>
    <c:autoTitleDeleted val="0"/>
    <c:plotArea>
      <c:layout/>
      <c:barChart>
        <c:barDir val="col"/>
        <c:grouping val="clustered"/>
        <c:varyColors val="0"/>
        <c:ser>
          <c:idx val="0"/>
          <c:order val="0"/>
          <c:tx>
            <c:strRef>
              <c:f>'Data - Dashboard charts'!$D$14</c:f>
              <c:strCache>
                <c:ptCount val="1"/>
                <c:pt idx="0">
                  <c:v>Breakdown of costs to the private sector </c:v>
                </c:pt>
              </c:strCache>
            </c:strRef>
          </c:tx>
          <c:spPr>
            <a:solidFill>
              <a:srgbClr val="375623"/>
            </a:solidFill>
            <a:ln>
              <a:noFill/>
            </a:ln>
            <a:effectLst/>
          </c:spPr>
          <c:invertIfNegative val="0"/>
          <c:cat>
            <c:strRef>
              <c:f>'Data - Dashboard charts'!$C$15:$C$16</c:f>
              <c:strCache>
                <c:ptCount val="2"/>
                <c:pt idx="0">
                  <c:v>Total average cost of an unproductive employee annually</c:v>
                </c:pt>
                <c:pt idx="1">
                  <c:v>Total average cost of impacted individuals withdrawing from their employer organisation annually</c:v>
                </c:pt>
              </c:strCache>
            </c:strRef>
          </c:cat>
          <c:val>
            <c:numRef>
              <c:f>'Data - Dashboard charts'!$D$15:$D$16</c:f>
              <c:numCache>
                <c:formatCode>#,##0.00</c:formatCode>
                <c:ptCount val="2"/>
                <c:pt idx="0">
                  <c:v>98897001.839999989</c:v>
                </c:pt>
                <c:pt idx="1">
                  <c:v>112408222.14089999</c:v>
                </c:pt>
              </c:numCache>
            </c:numRef>
          </c:val>
          <c:extLst>
            <c:ext xmlns:c16="http://schemas.microsoft.com/office/drawing/2014/chart" uri="{C3380CC4-5D6E-409C-BE32-E72D297353CC}">
              <c16:uniqueId val="{00000000-6497-4B28-8380-DB04219ACA6B}"/>
            </c:ext>
          </c:extLst>
        </c:ser>
        <c:dLbls>
          <c:showLegendKey val="0"/>
          <c:showVal val="0"/>
          <c:showCatName val="0"/>
          <c:showSerName val="0"/>
          <c:showPercent val="0"/>
          <c:showBubbleSize val="0"/>
        </c:dLbls>
        <c:gapWidth val="219"/>
        <c:overlap val="-27"/>
        <c:axId val="1997273944"/>
        <c:axId val="1997262296"/>
      </c:barChart>
      <c:catAx>
        <c:axId val="1997273944"/>
        <c:scaling>
          <c:orientation val="minMax"/>
        </c:scaling>
        <c:delete val="0"/>
        <c:axPos val="b"/>
        <c:title>
          <c:tx>
            <c:rich>
              <a:bodyPr rot="0" spcFirstLastPara="1" vertOverflow="ellipsis" vert="horz" wrap="square" anchor="ctr" anchorCtr="1"/>
              <a:lstStyle/>
              <a:p>
                <a:pPr>
                  <a:defRPr sz="1000" b="0" i="0" u="none" strike="noStrike" kern="1200" baseline="0">
                    <a:solidFill>
                      <a:srgbClr val="0D0D0D"/>
                    </a:solidFill>
                    <a:latin typeface="+mn-lt"/>
                    <a:ea typeface="+mn-ea"/>
                    <a:cs typeface="+mn-cs"/>
                  </a:defRPr>
                </a:pPr>
                <a:r>
                  <a:rPr lang="en-US"/>
                  <a:t>Cost areas</a:t>
                </a:r>
              </a:p>
            </c:rich>
          </c:tx>
          <c:overlay val="0"/>
          <c:spPr>
            <a:noFill/>
            <a:ln>
              <a:noFill/>
            </a:ln>
            <a:effectLst/>
          </c:spPr>
          <c:txPr>
            <a:bodyPr rot="0" spcFirstLastPara="1" vertOverflow="ellipsis" vert="horz" wrap="square" anchor="ctr" anchorCtr="1"/>
            <a:lstStyle/>
            <a:p>
              <a:pPr>
                <a:defRPr sz="1000" b="0" i="0" u="none" strike="noStrike" kern="1200" baseline="0">
                  <a:solidFill>
                    <a:srgbClr val="0D0D0D"/>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1997262296"/>
        <c:crosses val="autoZero"/>
        <c:auto val="1"/>
        <c:lblAlgn val="ctr"/>
        <c:lblOffset val="100"/>
        <c:noMultiLvlLbl val="0"/>
      </c:catAx>
      <c:valAx>
        <c:axId val="19972622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r>
                  <a:rPr lang="en-US"/>
                  <a:t>Amount ($)
</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1997273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rgbClr val="0D0D0D"/>
              </a:solidFill>
              <a:latin typeface="+mn-lt"/>
              <a:ea typeface="+mn-ea"/>
              <a:cs typeface="+mn-cs"/>
            </a:defRPr>
          </a:pPr>
          <a:endParaRPr lang="en-US"/>
        </a:p>
      </c:txPr>
    </c:title>
    <c:autoTitleDeleted val="0"/>
    <c:plotArea>
      <c:layout/>
      <c:barChart>
        <c:barDir val="col"/>
        <c:grouping val="clustered"/>
        <c:varyColors val="0"/>
        <c:ser>
          <c:idx val="0"/>
          <c:order val="0"/>
          <c:tx>
            <c:strRef>
              <c:f>'Data - Dashboard charts'!$D$21</c:f>
              <c:strCache>
                <c:ptCount val="1"/>
                <c:pt idx="0">
                  <c:v>Breakdown of costs to individuals</c:v>
                </c:pt>
              </c:strCache>
            </c:strRef>
          </c:tx>
          <c:spPr>
            <a:solidFill>
              <a:srgbClr val="A9D08E"/>
            </a:solidFill>
            <a:ln>
              <a:noFill/>
            </a:ln>
            <a:effectLst/>
          </c:spPr>
          <c:invertIfNegative val="0"/>
          <c:cat>
            <c:strRef>
              <c:f>'Data - Dashboard charts'!$C$22:$C$27</c:f>
              <c:strCache>
                <c:ptCount val="6"/>
                <c:pt idx="0">
                  <c:v>Total spending on legal services for long term affected individuals</c:v>
                </c:pt>
                <c:pt idx="1">
                  <c:v>Total cost of accomodation for long term impacted individuals</c:v>
                </c:pt>
                <c:pt idx="2">
                  <c:v>Total cost of travel for long term impacted individuals</c:v>
                </c:pt>
                <c:pt idx="3">
                  <c:v>Total cost of physiological problems for long term impacted individuals	</c:v>
                </c:pt>
                <c:pt idx="4">
                  <c:v>Total cost of psychological problems for long term impacted individuals</c:v>
                </c:pt>
                <c:pt idx="5">
                  <c:v>Total amount of income lost or forgone for long term impacted individuals</c:v>
                </c:pt>
              </c:strCache>
            </c:strRef>
          </c:cat>
          <c:val>
            <c:numRef>
              <c:f>'Data - Dashboard charts'!$D$22:$D$27</c:f>
              <c:numCache>
                <c:formatCode>#,##0.00</c:formatCode>
                <c:ptCount val="6"/>
                <c:pt idx="0">
                  <c:v>2874144</c:v>
                </c:pt>
                <c:pt idx="1">
                  <c:v>702000.00000000012</c:v>
                </c:pt>
                <c:pt idx="2">
                  <c:v>514800</c:v>
                </c:pt>
                <c:pt idx="3">
                  <c:v>2615184</c:v>
                </c:pt>
                <c:pt idx="4">
                  <c:v>3712746.96</c:v>
                </c:pt>
                <c:pt idx="5">
                  <c:v>3785137.1765999999</c:v>
                </c:pt>
              </c:numCache>
            </c:numRef>
          </c:val>
          <c:extLst>
            <c:ext xmlns:c16="http://schemas.microsoft.com/office/drawing/2014/chart" uri="{C3380CC4-5D6E-409C-BE32-E72D297353CC}">
              <c16:uniqueId val="{00000000-2208-4B1B-B512-48D3A888BF0D}"/>
            </c:ext>
          </c:extLst>
        </c:ser>
        <c:dLbls>
          <c:showLegendKey val="0"/>
          <c:showVal val="0"/>
          <c:showCatName val="0"/>
          <c:showSerName val="0"/>
          <c:showPercent val="0"/>
          <c:showBubbleSize val="0"/>
        </c:dLbls>
        <c:gapWidth val="219"/>
        <c:overlap val="-27"/>
        <c:axId val="643875064"/>
        <c:axId val="643878808"/>
      </c:barChart>
      <c:catAx>
        <c:axId val="6438750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Cost areas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643878808"/>
        <c:crosses val="autoZero"/>
        <c:auto val="1"/>
        <c:lblAlgn val="ctr"/>
        <c:lblOffset val="100"/>
        <c:noMultiLvlLbl val="0"/>
      </c:catAx>
      <c:valAx>
        <c:axId val="643878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r>
                  <a:rPr lang="en-US"/>
                  <a:t>Amount ($)
</a:t>
                </a:r>
              </a:p>
            </c:rich>
          </c:tx>
          <c:overlay val="0"/>
          <c:spPr>
            <a:noFill/>
            <a:ln>
              <a:noFill/>
            </a:ln>
            <a:effectLst/>
          </c:spPr>
          <c:txPr>
            <a:bodyPr rot="-5400000" spcFirstLastPara="1" vertOverflow="ellipsis" vert="horz" wrap="square" anchor="ctr" anchorCtr="1"/>
            <a:lstStyle/>
            <a:p>
              <a:pPr>
                <a:defRPr sz="1000" b="0" i="0" u="none" strike="noStrike" kern="1200" baseline="0">
                  <a:solidFill>
                    <a:srgbClr val="0D0D0D"/>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crossAx val="6438750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'Data - Dashboard charts'!$D$32</c:f>
              <c:strCache>
                <c:ptCount val="1"/>
                <c:pt idx="0">
                  <c:v>Distribution of costs by sector</c:v>
                </c:pt>
              </c:strCache>
            </c:strRef>
          </c:tx>
          <c:dPt>
            <c:idx val="0"/>
            <c:bubble3D val="0"/>
            <c:spPr>
              <a:solidFill>
                <a:srgbClr val="548235"/>
              </a:solidFill>
              <a:ln w="19050">
                <a:solidFill>
                  <a:schemeClr val="lt1"/>
                </a:solidFill>
              </a:ln>
              <a:effectLst/>
            </c:spPr>
            <c:extLst>
              <c:ext xmlns:c16="http://schemas.microsoft.com/office/drawing/2014/chart" uri="{C3380CC4-5D6E-409C-BE32-E72D297353CC}">
                <c16:uniqueId val="{00000001-E5A6-477E-BF56-03C1A1E705D7}"/>
              </c:ext>
            </c:extLst>
          </c:dPt>
          <c:dPt>
            <c:idx val="1"/>
            <c:bubble3D val="0"/>
            <c:spPr>
              <a:solidFill>
                <a:srgbClr val="375623"/>
              </a:solidFill>
              <a:ln w="19050">
                <a:solidFill>
                  <a:schemeClr val="lt1"/>
                </a:solidFill>
              </a:ln>
              <a:effectLst/>
            </c:spPr>
            <c:extLst>
              <c:ext xmlns:c16="http://schemas.microsoft.com/office/drawing/2014/chart" uri="{C3380CC4-5D6E-409C-BE32-E72D297353CC}">
                <c16:uniqueId val="{00000003-E5A6-477E-BF56-03C1A1E705D7}"/>
              </c:ext>
            </c:extLst>
          </c:dPt>
          <c:dPt>
            <c:idx val="2"/>
            <c:bubble3D val="0"/>
            <c:spPr>
              <a:solidFill>
                <a:srgbClr val="A9D08E"/>
              </a:solidFill>
              <a:ln w="19050">
                <a:solidFill>
                  <a:schemeClr val="lt1"/>
                </a:solidFill>
              </a:ln>
              <a:effectLst/>
            </c:spPr>
            <c:extLst>
              <c:ext xmlns:c16="http://schemas.microsoft.com/office/drawing/2014/chart" uri="{C3380CC4-5D6E-409C-BE32-E72D297353CC}">
                <c16:uniqueId val="{00000005-E5A6-477E-BF56-03C1A1E705D7}"/>
              </c:ext>
            </c:extLst>
          </c:dPt>
          <c:cat>
            <c:strRef>
              <c:f>'Data - Dashboard charts'!$C$33:$C$35</c:f>
              <c:strCache>
                <c:ptCount val="3"/>
                <c:pt idx="0">
                  <c:v>Public sector</c:v>
                </c:pt>
                <c:pt idx="1">
                  <c:v>Private sector</c:v>
                </c:pt>
                <c:pt idx="2">
                  <c:v>Individual sector</c:v>
                </c:pt>
              </c:strCache>
            </c:strRef>
          </c:cat>
          <c:val>
            <c:numRef>
              <c:f>'Data - Dashboard charts'!$D$33:$D$35</c:f>
              <c:numCache>
                <c:formatCode>#,##0.00</c:formatCode>
                <c:ptCount val="3"/>
                <c:pt idx="0">
                  <c:v>30924051.779142857</c:v>
                </c:pt>
                <c:pt idx="1">
                  <c:v>211305223.98089999</c:v>
                </c:pt>
                <c:pt idx="2">
                  <c:v>14204012.136599999</c:v>
                </c:pt>
              </c:numCache>
            </c:numRef>
          </c:val>
          <c:extLst>
            <c:ext xmlns:c16="http://schemas.microsoft.com/office/drawing/2014/chart" uri="{C3380CC4-5D6E-409C-BE32-E72D297353CC}">
              <c16:uniqueId val="{00000006-E5A6-477E-BF56-03C1A1E705D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rgbClr val="0D0D0D"/>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223520</xdr:colOff>
      <xdr:row>22</xdr:row>
      <xdr:rowOff>81280</xdr:rowOff>
    </xdr:from>
    <xdr:to>
      <xdr:col>3</xdr:col>
      <xdr:colOff>161925</xdr:colOff>
      <xdr:row>40</xdr:row>
      <xdr:rowOff>68123</xdr:rowOff>
    </xdr:to>
    <xdr:graphicFrame macro="">
      <xdr:nvGraphicFramePr>
        <xdr:cNvPr id="11" name="Chart 2">
          <a:extLst>
            <a:ext uri="{FF2B5EF4-FFF2-40B4-BE49-F238E27FC236}">
              <a16:creationId xmlns:a16="http://schemas.microsoft.com/office/drawing/2014/main" id="{414529B7-5E2A-465E-8C19-42FAC4F513D4}"/>
            </a:ext>
            <a:ext uri="{147F2762-F138-4A5C-976F-8EAC2B608ADB}">
              <a16:predDERef xmlns:a16="http://schemas.microsoft.com/office/drawing/2014/main" pre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375920</xdr:colOff>
      <xdr:row>22</xdr:row>
      <xdr:rowOff>81281</xdr:rowOff>
    </xdr:from>
    <xdr:to>
      <xdr:col>5</xdr:col>
      <xdr:colOff>3731260</xdr:colOff>
      <xdr:row>40</xdr:row>
      <xdr:rowOff>63257</xdr:rowOff>
    </xdr:to>
    <xdr:graphicFrame macro="">
      <xdr:nvGraphicFramePr>
        <xdr:cNvPr id="12" name="Chart 8">
          <a:extLst>
            <a:ext uri="{FF2B5EF4-FFF2-40B4-BE49-F238E27FC236}">
              <a16:creationId xmlns:a16="http://schemas.microsoft.com/office/drawing/2014/main" id="{895D01F0-9630-4656-A2D2-07DB8D320E0A}"/>
            </a:ext>
            <a:ext uri="{147F2762-F138-4A5C-976F-8EAC2B608ADB}">
              <a16:predDERef xmlns:a16="http://schemas.microsoft.com/office/drawing/2014/main" pred="{414529B7-5E2A-465E-8C19-42FAC4F513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217879</xdr:colOff>
      <xdr:row>41</xdr:row>
      <xdr:rowOff>95250</xdr:rowOff>
    </xdr:from>
    <xdr:to>
      <xdr:col>5</xdr:col>
      <xdr:colOff>447114</xdr:colOff>
      <xdr:row>58</xdr:row>
      <xdr:rowOff>85725</xdr:rowOff>
    </xdr:to>
    <xdr:graphicFrame macro="">
      <xdr:nvGraphicFramePr>
        <xdr:cNvPr id="13" name="Chart 9">
          <a:extLst>
            <a:ext uri="{FF2B5EF4-FFF2-40B4-BE49-F238E27FC236}">
              <a16:creationId xmlns:a16="http://schemas.microsoft.com/office/drawing/2014/main" id="{3133213C-C5C1-43F5-BAA9-8846FA2805B1}"/>
            </a:ext>
            <a:ext uri="{147F2762-F138-4A5C-976F-8EAC2B608ADB}">
              <a16:predDERef xmlns:a16="http://schemas.microsoft.com/office/drawing/2014/main" pred="{895D01F0-9630-4656-A2D2-07DB8D320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628015</xdr:colOff>
      <xdr:row>41</xdr:row>
      <xdr:rowOff>85725</xdr:rowOff>
    </xdr:from>
    <xdr:to>
      <xdr:col>5</xdr:col>
      <xdr:colOff>3752215</xdr:colOff>
      <xdr:row>58</xdr:row>
      <xdr:rowOff>76200</xdr:rowOff>
    </xdr:to>
    <xdr:graphicFrame macro="">
      <xdr:nvGraphicFramePr>
        <xdr:cNvPr id="14" name="Chart 10">
          <a:extLst>
            <a:ext uri="{FF2B5EF4-FFF2-40B4-BE49-F238E27FC236}">
              <a16:creationId xmlns:a16="http://schemas.microsoft.com/office/drawing/2014/main" id="{BF637D1A-9C2D-4503-9254-4ED4BC1A3DF5}"/>
            </a:ext>
            <a:ext uri="{147F2762-F138-4A5C-976F-8EAC2B608ADB}">
              <a16:predDERef xmlns:a16="http://schemas.microsoft.com/office/drawing/2014/main" pred="{3133213C-C5C1-43F5-BAA9-8846FA2805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53041</xdr:colOff>
      <xdr:row>3</xdr:row>
      <xdr:rowOff>22225</xdr:rowOff>
    </xdr:from>
    <xdr:to>
      <xdr:col>0</xdr:col>
      <xdr:colOff>702235</xdr:colOff>
      <xdr:row>5</xdr:row>
      <xdr:rowOff>269258</xdr:rowOff>
    </xdr:to>
    <xdr:pic>
      <xdr:nvPicPr>
        <xdr:cNvPr id="16" name="Picture 15">
          <a:extLst>
            <a:ext uri="{FF2B5EF4-FFF2-40B4-BE49-F238E27FC236}">
              <a16:creationId xmlns:a16="http://schemas.microsoft.com/office/drawing/2014/main" id="{8688C7F5-0669-469F-A72E-5E64940ACDA6}"/>
            </a:ext>
            <a:ext uri="{147F2762-F138-4A5C-976F-8EAC2B608ADB}">
              <a16:predDERef xmlns:a16="http://schemas.microsoft.com/office/drawing/2014/main" pred="{BF637D1A-9C2D-4503-9254-4ED4BC1A3DF5}"/>
            </a:ext>
          </a:extLst>
        </xdr:cNvPr>
        <xdr:cNvPicPr>
          <a:picLocks noChangeAspect="1"/>
        </xdr:cNvPicPr>
      </xdr:nvPicPr>
      <xdr:blipFill>
        <a:blip xmlns:r="http://schemas.openxmlformats.org/officeDocument/2006/relationships" r:embed="rId5"/>
        <a:stretch>
          <a:fillRect/>
        </a:stretch>
      </xdr:blipFill>
      <xdr:spPr>
        <a:xfrm>
          <a:off x="53041" y="515284"/>
          <a:ext cx="649194" cy="59068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hyperlink" Target="Number%20of%20medical%20specialist%20sessions%20that%20the%20general%20public%20would%20attend,%20adjusted%20with%20an%20increase%20of%202%20sessions%20to%20account%20for%20the%20impact%20of%20missingness%20on%20emotional%20wellbeing.%0a%0aExtracted%20from:%0ahttps:/www.abs.gov.au/ausstats/abs@.nsf/mf/483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6"/>
  <sheetViews>
    <sheetView showGridLines="0" workbookViewId="0">
      <selection activeCell="L13" sqref="L13"/>
    </sheetView>
  </sheetViews>
  <sheetFormatPr baseColWidth="10" defaultColWidth="8.83203125" defaultRowHeight="13" x14ac:dyDescent="0.15"/>
  <cols>
    <col min="1" max="1" width="7.5" customWidth="1"/>
    <col min="2" max="2" width="4.1640625" style="181" customWidth="1"/>
    <col min="3" max="3" width="4.83203125" customWidth="1"/>
    <col min="8" max="8" width="33.1640625" customWidth="1"/>
    <col min="9" max="9" width="4.1640625" customWidth="1"/>
  </cols>
  <sheetData>
    <row r="1" spans="1:28" s="277" customFormat="1" x14ac:dyDescent="0.15">
      <c r="A1" s="1" t="s">
        <v>0</v>
      </c>
      <c r="B1" s="1"/>
      <c r="C1" s="2"/>
      <c r="D1" s="2"/>
      <c r="E1" s="2"/>
      <c r="F1" s="2"/>
      <c r="G1" s="2"/>
      <c r="H1" s="2"/>
      <c r="I1" s="2"/>
      <c r="J1" s="2"/>
      <c r="K1" s="2"/>
      <c r="L1" s="2"/>
      <c r="M1" s="2"/>
      <c r="N1" s="2"/>
      <c r="O1" s="2"/>
      <c r="P1" s="2"/>
      <c r="Q1" s="2"/>
      <c r="R1" s="2"/>
      <c r="S1" s="2"/>
      <c r="T1" s="2"/>
      <c r="U1" s="2"/>
      <c r="V1" s="2"/>
      <c r="W1" s="2"/>
      <c r="X1" s="2"/>
      <c r="Y1" s="2"/>
      <c r="Z1" s="2"/>
      <c r="AA1" s="2"/>
      <c r="AB1" s="2"/>
    </row>
    <row r="2" spans="1:28" s="277" customFormat="1" x14ac:dyDescent="0.15">
      <c r="A2" s="3" t="s">
        <v>227</v>
      </c>
      <c r="B2" s="3"/>
      <c r="C2" s="2"/>
      <c r="D2" s="2"/>
      <c r="E2" s="2"/>
      <c r="F2" s="2"/>
      <c r="G2" s="2"/>
      <c r="H2" s="2"/>
      <c r="I2" s="2"/>
      <c r="J2" s="2"/>
      <c r="K2" s="2"/>
      <c r="L2" s="2"/>
      <c r="M2" s="2"/>
      <c r="N2" s="2"/>
      <c r="O2" s="2"/>
      <c r="P2" s="2"/>
      <c r="Q2" s="2"/>
      <c r="R2" s="2"/>
      <c r="S2" s="2"/>
      <c r="T2" s="2"/>
      <c r="U2" s="2"/>
      <c r="V2" s="2"/>
      <c r="W2" s="2"/>
      <c r="X2" s="2"/>
      <c r="Y2" s="2"/>
      <c r="Z2" s="2"/>
      <c r="AA2" s="2"/>
      <c r="AB2" s="2"/>
    </row>
    <row r="4" spans="1:28" s="181" customFormat="1" x14ac:dyDescent="0.15">
      <c r="B4" s="278"/>
      <c r="C4" s="278"/>
      <c r="D4" s="278"/>
      <c r="E4" s="278"/>
      <c r="F4" s="278"/>
      <c r="G4" s="278"/>
      <c r="H4" s="278"/>
      <c r="I4" s="278"/>
    </row>
    <row r="5" spans="1:28" x14ac:dyDescent="0.15">
      <c r="A5" s="149"/>
      <c r="B5" s="278"/>
      <c r="C5" s="302" t="s">
        <v>1</v>
      </c>
      <c r="D5" s="303"/>
      <c r="E5" s="303"/>
      <c r="F5" s="303"/>
      <c r="G5" s="303"/>
      <c r="H5" s="304"/>
      <c r="I5" s="278"/>
      <c r="J5" s="149"/>
      <c r="K5" s="149"/>
      <c r="L5" s="140"/>
      <c r="M5" s="140"/>
      <c r="N5" s="140"/>
      <c r="O5" s="140"/>
      <c r="P5" s="140"/>
      <c r="Q5" s="149"/>
      <c r="R5" s="149"/>
      <c r="S5" s="149"/>
      <c r="T5" s="149"/>
      <c r="U5" s="149"/>
      <c r="V5" s="149"/>
      <c r="W5" s="149"/>
      <c r="X5" s="149"/>
      <c r="Y5" s="149"/>
      <c r="Z5" s="149"/>
      <c r="AA5" s="149"/>
      <c r="AB5" s="149"/>
    </row>
    <row r="6" spans="1:28" ht="145.5" customHeight="1" x14ac:dyDescent="0.15">
      <c r="A6" s="140"/>
      <c r="B6" s="299"/>
      <c r="C6" s="481" t="s">
        <v>261</v>
      </c>
      <c r="D6" s="482"/>
      <c r="E6" s="482"/>
      <c r="F6" s="482"/>
      <c r="G6" s="482"/>
      <c r="H6" s="483"/>
      <c r="I6" s="299"/>
      <c r="J6" s="149"/>
      <c r="K6" s="140"/>
      <c r="L6" s="47"/>
      <c r="M6" s="47"/>
      <c r="N6" s="47"/>
      <c r="O6" s="47"/>
      <c r="P6" s="47"/>
      <c r="Q6" s="140"/>
      <c r="R6" s="149"/>
      <c r="S6" s="149"/>
      <c r="T6" s="149"/>
      <c r="U6" s="149"/>
      <c r="V6" s="149"/>
      <c r="W6" s="149"/>
      <c r="X6" s="149"/>
      <c r="Y6" s="149"/>
      <c r="Z6" s="149"/>
      <c r="AA6" s="149"/>
      <c r="AB6" s="149"/>
    </row>
    <row r="7" spans="1:28" s="63" customFormat="1" x14ac:dyDescent="0.15">
      <c r="B7" s="278"/>
      <c r="C7" s="300"/>
      <c r="D7" s="278"/>
      <c r="E7" s="278"/>
      <c r="F7" s="278"/>
      <c r="G7" s="278"/>
      <c r="H7" s="278"/>
      <c r="I7" s="278"/>
    </row>
    <row r="8" spans="1:28" ht="13.5" customHeight="1" x14ac:dyDescent="0.15">
      <c r="A8" s="149"/>
      <c r="B8" s="278"/>
      <c r="C8" s="302" t="s">
        <v>2</v>
      </c>
      <c r="D8" s="305"/>
      <c r="E8" s="305"/>
      <c r="F8" s="305"/>
      <c r="G8" s="305"/>
      <c r="H8" s="306"/>
      <c r="I8" s="278"/>
      <c r="J8" s="149"/>
      <c r="K8" s="140"/>
      <c r="L8" s="47"/>
      <c r="M8" s="47"/>
      <c r="N8" s="47"/>
      <c r="O8" s="47"/>
      <c r="P8" s="47"/>
      <c r="Q8" s="140"/>
      <c r="R8" s="149"/>
      <c r="S8" s="149"/>
      <c r="T8" s="149"/>
      <c r="U8" s="149"/>
      <c r="V8" s="149"/>
      <c r="W8" s="149"/>
      <c r="X8" s="149"/>
      <c r="Y8" s="149"/>
      <c r="Z8" s="149"/>
      <c r="AA8" s="149"/>
      <c r="AB8" s="149"/>
    </row>
    <row r="9" spans="1:28" ht="78" customHeight="1" x14ac:dyDescent="0.15">
      <c r="A9" s="149"/>
      <c r="B9" s="278"/>
      <c r="C9" s="481" t="s">
        <v>3</v>
      </c>
      <c r="D9" s="484"/>
      <c r="E9" s="484"/>
      <c r="F9" s="484"/>
      <c r="G9" s="484"/>
      <c r="H9" s="485"/>
      <c r="I9" s="278"/>
      <c r="J9" s="149"/>
      <c r="K9" s="140"/>
      <c r="L9" s="47"/>
      <c r="M9" s="47"/>
      <c r="N9" s="47"/>
      <c r="O9" s="47"/>
      <c r="P9" s="47"/>
      <c r="Q9" s="140"/>
      <c r="R9" s="149"/>
      <c r="S9" s="149"/>
      <c r="T9" s="149"/>
      <c r="U9" s="149"/>
      <c r="V9" s="149"/>
      <c r="W9" s="149"/>
      <c r="X9" s="149"/>
      <c r="Y9" s="149"/>
      <c r="Z9" s="149"/>
      <c r="AA9" s="149"/>
      <c r="AB9" s="149"/>
    </row>
    <row r="10" spans="1:28" x14ac:dyDescent="0.15">
      <c r="A10" s="149"/>
      <c r="B10" s="278"/>
      <c r="C10" s="301"/>
      <c r="D10" s="301"/>
      <c r="E10" s="301"/>
      <c r="F10" s="301"/>
      <c r="G10" s="301"/>
      <c r="H10" s="301"/>
      <c r="I10" s="278"/>
      <c r="J10" s="149"/>
      <c r="K10" s="140"/>
      <c r="L10" s="204"/>
      <c r="M10" s="204"/>
      <c r="N10" s="204"/>
      <c r="O10" s="204"/>
      <c r="P10" s="204"/>
      <c r="Q10" s="140"/>
      <c r="R10" s="149"/>
      <c r="S10" s="149"/>
      <c r="T10" s="149"/>
      <c r="U10" s="149"/>
      <c r="V10" s="149"/>
      <c r="W10" s="149"/>
      <c r="X10" s="149"/>
      <c r="Y10" s="149"/>
      <c r="Z10" s="149"/>
      <c r="AA10" s="149"/>
      <c r="AB10" s="149"/>
    </row>
    <row r="11" spans="1:28" x14ac:dyDescent="0.15">
      <c r="A11" s="149"/>
      <c r="B11" s="278"/>
      <c r="C11" s="302" t="s">
        <v>4</v>
      </c>
      <c r="D11" s="305"/>
      <c r="E11" s="305"/>
      <c r="F11" s="305"/>
      <c r="G11" s="305"/>
      <c r="H11" s="306"/>
      <c r="I11" s="278"/>
      <c r="J11" s="149"/>
      <c r="K11" s="149"/>
      <c r="L11" s="140"/>
      <c r="M11" s="140"/>
      <c r="N11" s="140"/>
      <c r="O11" s="140"/>
      <c r="P11" s="140"/>
      <c r="Q11" s="149"/>
      <c r="R11" s="149"/>
      <c r="S11" s="149"/>
      <c r="T11" s="149"/>
      <c r="U11" s="149"/>
      <c r="V11" s="149"/>
      <c r="W11" s="149"/>
      <c r="X11" s="149"/>
      <c r="Y11" s="149"/>
      <c r="Z11" s="149"/>
      <c r="AA11" s="149"/>
      <c r="AB11" s="149"/>
    </row>
    <row r="12" spans="1:28" ht="99" customHeight="1" x14ac:dyDescent="0.15">
      <c r="A12" s="149"/>
      <c r="B12" s="278"/>
      <c r="C12" s="481" t="s">
        <v>262</v>
      </c>
      <c r="D12" s="484"/>
      <c r="E12" s="484"/>
      <c r="F12" s="484"/>
      <c r="G12" s="484"/>
      <c r="H12" s="485"/>
      <c r="I12" s="278"/>
      <c r="J12" s="149"/>
      <c r="K12" s="149"/>
      <c r="L12" s="149"/>
      <c r="M12" s="149"/>
      <c r="N12" s="149"/>
      <c r="O12" s="149"/>
      <c r="P12" s="149"/>
      <c r="Q12" s="149"/>
      <c r="R12" s="149"/>
      <c r="S12" s="149"/>
      <c r="T12" s="149"/>
      <c r="U12" s="149"/>
      <c r="V12" s="149"/>
      <c r="W12" s="149"/>
      <c r="X12" s="149"/>
      <c r="Y12" s="149"/>
      <c r="Z12" s="149"/>
      <c r="AA12" s="149"/>
      <c r="AB12" s="149"/>
    </row>
    <row r="13" spans="1:28" x14ac:dyDescent="0.15">
      <c r="A13" s="149"/>
      <c r="B13" s="278"/>
      <c r="C13" s="301"/>
      <c r="D13" s="301"/>
      <c r="E13" s="301"/>
      <c r="F13" s="301"/>
      <c r="G13" s="301"/>
      <c r="H13" s="301"/>
      <c r="I13" s="278"/>
      <c r="J13" s="149"/>
      <c r="K13" s="149"/>
      <c r="L13" s="149"/>
      <c r="M13" s="149"/>
      <c r="N13" s="149"/>
      <c r="O13" s="149"/>
      <c r="P13" s="149"/>
      <c r="Q13" s="149"/>
      <c r="R13" s="149"/>
      <c r="S13" s="149"/>
      <c r="T13" s="149"/>
      <c r="U13" s="149"/>
      <c r="V13" s="149"/>
      <c r="W13" s="149"/>
      <c r="X13" s="149"/>
      <c r="Y13" s="149"/>
      <c r="Z13" s="149"/>
      <c r="AA13" s="149"/>
      <c r="AB13" s="149"/>
    </row>
    <row r="14" spans="1:28" x14ac:dyDescent="0.15">
      <c r="A14" s="149"/>
      <c r="B14" s="278"/>
      <c r="C14" s="302" t="s">
        <v>5</v>
      </c>
      <c r="D14" s="305"/>
      <c r="E14" s="305"/>
      <c r="F14" s="305"/>
      <c r="G14" s="305"/>
      <c r="H14" s="306"/>
      <c r="I14" s="278"/>
      <c r="J14" s="149"/>
      <c r="K14" s="149"/>
      <c r="L14" s="149"/>
      <c r="M14" s="149"/>
      <c r="N14" s="149"/>
      <c r="O14" s="149"/>
      <c r="P14" s="149"/>
      <c r="Q14" s="149"/>
      <c r="R14" s="149"/>
      <c r="S14" s="149"/>
      <c r="T14" s="149"/>
      <c r="U14" s="149"/>
      <c r="V14" s="149"/>
      <c r="W14" s="149"/>
      <c r="X14" s="149"/>
      <c r="Y14" s="149"/>
      <c r="Z14" s="149"/>
      <c r="AA14" s="149"/>
      <c r="AB14" s="149"/>
    </row>
    <row r="15" spans="1:28" ht="58.5" customHeight="1" x14ac:dyDescent="0.15">
      <c r="A15" s="149"/>
      <c r="B15" s="278"/>
      <c r="C15" s="481" t="s">
        <v>6</v>
      </c>
      <c r="D15" s="484"/>
      <c r="E15" s="484"/>
      <c r="F15" s="484"/>
      <c r="G15" s="484"/>
      <c r="H15" s="485"/>
      <c r="I15" s="278"/>
      <c r="J15" s="149"/>
      <c r="K15" s="149"/>
      <c r="L15" s="149"/>
      <c r="M15" s="149"/>
      <c r="N15" s="149"/>
      <c r="O15" s="149"/>
      <c r="P15" s="149"/>
      <c r="Q15" s="149"/>
      <c r="R15" s="149"/>
      <c r="S15" s="149"/>
      <c r="T15" s="149"/>
      <c r="U15" s="149"/>
      <c r="V15" s="149"/>
      <c r="W15" s="149"/>
      <c r="X15" s="149"/>
      <c r="Y15" s="149"/>
      <c r="Z15" s="149"/>
      <c r="AA15" s="149"/>
      <c r="AB15" s="149"/>
    </row>
    <row r="16" spans="1:28" ht="14" customHeight="1" x14ac:dyDescent="0.15">
      <c r="B16" s="278"/>
      <c r="C16" s="278"/>
      <c r="D16" s="278"/>
      <c r="E16" s="278"/>
      <c r="F16" s="278"/>
      <c r="G16" s="278"/>
      <c r="H16" s="278"/>
      <c r="I16" s="278"/>
    </row>
    <row r="17" spans="3:8" ht="14" customHeight="1" x14ac:dyDescent="0.15"/>
    <row r="25" spans="3:8" x14ac:dyDescent="0.15">
      <c r="C25" s="149"/>
      <c r="D25" s="149"/>
      <c r="E25" s="149"/>
      <c r="F25" s="149"/>
      <c r="G25" s="149"/>
      <c r="H25" s="149"/>
    </row>
    <row r="26" spans="3:8" x14ac:dyDescent="0.15">
      <c r="C26" s="149"/>
      <c r="D26" s="149"/>
      <c r="E26" s="149"/>
      <c r="F26" s="149"/>
      <c r="G26" s="149"/>
      <c r="H26" s="149"/>
    </row>
  </sheetData>
  <mergeCells count="11">
    <mergeCell ref="L10:P10"/>
    <mergeCell ref="C6:H6"/>
    <mergeCell ref="C8:H8"/>
    <mergeCell ref="C9:H9"/>
    <mergeCell ref="C5:H5"/>
    <mergeCell ref="C10:H10"/>
    <mergeCell ref="C14:H14"/>
    <mergeCell ref="C15:H15"/>
    <mergeCell ref="C13:H13"/>
    <mergeCell ref="C11:H11"/>
    <mergeCell ref="C12:H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7"/>
  <sheetViews>
    <sheetView showGridLines="0" zoomScale="85" zoomScaleNormal="261" workbookViewId="0">
      <selection activeCell="I37" sqref="I37"/>
    </sheetView>
  </sheetViews>
  <sheetFormatPr baseColWidth="10" defaultColWidth="8.83203125" defaultRowHeight="13" x14ac:dyDescent="0.15"/>
  <cols>
    <col min="1" max="1" width="10.33203125" customWidth="1"/>
    <col min="2" max="2" width="58.5" customWidth="1"/>
    <col min="3" max="3" width="21.5" customWidth="1"/>
    <col min="5" max="5" width="15.33203125" customWidth="1"/>
    <col min="6" max="6" width="52.33203125" customWidth="1"/>
    <col min="8" max="8" width="9" customWidth="1"/>
    <col min="13" max="13" width="35.5" customWidth="1"/>
    <col min="15" max="15" width="17.1640625" customWidth="1"/>
  </cols>
  <sheetData>
    <row r="1" spans="1:27" s="277" customFormat="1" x14ac:dyDescent="0.15">
      <c r="A1" s="1" t="s">
        <v>0</v>
      </c>
      <c r="B1" s="2"/>
      <c r="C1" s="2"/>
      <c r="D1" s="2"/>
      <c r="E1" s="2"/>
      <c r="F1" s="2"/>
      <c r="G1" s="2"/>
      <c r="H1" s="2"/>
      <c r="I1" s="2"/>
      <c r="J1" s="2"/>
      <c r="K1" s="2"/>
      <c r="L1" s="2"/>
      <c r="M1" s="2"/>
      <c r="N1" s="2"/>
      <c r="O1" s="2"/>
      <c r="P1" s="2"/>
      <c r="Q1" s="2"/>
      <c r="R1" s="2"/>
      <c r="S1" s="2"/>
      <c r="T1" s="2"/>
      <c r="U1" s="2"/>
      <c r="V1" s="2"/>
      <c r="W1" s="2"/>
      <c r="X1" s="2"/>
      <c r="Y1" s="2"/>
      <c r="Z1" s="2"/>
    </row>
    <row r="2" spans="1:27" s="277" customFormat="1" x14ac:dyDescent="0.15">
      <c r="A2" s="3" t="s">
        <v>226</v>
      </c>
      <c r="B2" s="2"/>
      <c r="C2" s="2"/>
      <c r="D2" s="2"/>
      <c r="E2" s="2"/>
      <c r="F2" s="2"/>
      <c r="G2" s="2"/>
      <c r="H2" s="2"/>
      <c r="I2" s="2"/>
      <c r="J2" s="2"/>
      <c r="K2" s="2"/>
      <c r="L2" s="2"/>
      <c r="M2" s="2"/>
      <c r="N2" s="2"/>
      <c r="O2" s="2"/>
      <c r="P2" s="2"/>
      <c r="Q2" s="2"/>
      <c r="R2" s="2"/>
      <c r="S2" s="2"/>
      <c r="T2" s="2"/>
      <c r="U2" s="2"/>
      <c r="V2" s="2"/>
      <c r="W2" s="2"/>
      <c r="X2" s="2"/>
      <c r="Y2" s="2"/>
      <c r="Z2" s="2"/>
    </row>
    <row r="3" spans="1:27" x14ac:dyDescent="0.15">
      <c r="A3" s="149"/>
      <c r="B3" s="140"/>
      <c r="C3" s="140"/>
      <c r="D3" s="149"/>
      <c r="E3" s="140"/>
      <c r="F3" s="140"/>
      <c r="G3" s="149"/>
      <c r="H3" s="149"/>
      <c r="I3" s="149"/>
      <c r="J3" s="149"/>
      <c r="K3" s="149"/>
      <c r="L3" s="149"/>
      <c r="M3" s="149"/>
      <c r="N3" s="149"/>
      <c r="O3" s="149"/>
      <c r="P3" s="149"/>
      <c r="Q3" s="149"/>
      <c r="R3" s="149"/>
      <c r="S3" s="149"/>
      <c r="T3" s="149"/>
      <c r="U3" s="149"/>
      <c r="V3" s="149"/>
      <c r="W3" s="149"/>
      <c r="X3" s="149"/>
      <c r="Y3" s="149"/>
      <c r="Z3" s="149"/>
      <c r="AA3" s="149"/>
    </row>
    <row r="4" spans="1:27" x14ac:dyDescent="0.15">
      <c r="A4" s="140"/>
      <c r="B4" s="284" t="s">
        <v>7</v>
      </c>
      <c r="C4" s="285" t="s">
        <v>8</v>
      </c>
      <c r="D4" s="98"/>
      <c r="E4" s="286" t="s">
        <v>9</v>
      </c>
      <c r="F4" s="286" t="s">
        <v>10</v>
      </c>
      <c r="G4" s="140"/>
      <c r="H4" s="149"/>
      <c r="I4" s="101"/>
      <c r="J4" s="101"/>
      <c r="K4" s="101"/>
      <c r="L4" s="101"/>
      <c r="M4" s="101"/>
      <c r="N4" s="99"/>
      <c r="O4" s="149"/>
      <c r="P4" s="149"/>
      <c r="Q4" s="149"/>
      <c r="R4" s="149"/>
      <c r="S4" s="149"/>
      <c r="T4" s="149"/>
      <c r="U4" s="149"/>
      <c r="V4" s="149"/>
      <c r="W4" s="149"/>
      <c r="X4" s="149"/>
      <c r="Y4" s="149"/>
      <c r="Z4" s="149"/>
      <c r="AA4" s="149"/>
    </row>
    <row r="5" spans="1:27" ht="14" x14ac:dyDescent="0.15">
      <c r="A5" s="140"/>
      <c r="B5" s="293" t="s">
        <v>11</v>
      </c>
      <c r="C5" s="282" t="s">
        <v>12</v>
      </c>
      <c r="D5" s="99"/>
      <c r="E5" s="297" t="s">
        <v>13</v>
      </c>
      <c r="F5" s="294" t="s">
        <v>14</v>
      </c>
      <c r="G5" s="140"/>
      <c r="H5" s="149"/>
      <c r="I5" s="102"/>
      <c r="J5" s="102"/>
      <c r="K5" s="102"/>
      <c r="L5" s="102"/>
      <c r="M5" s="102"/>
      <c r="N5" s="99"/>
      <c r="O5" s="149"/>
      <c r="P5" s="149"/>
      <c r="Q5" s="149"/>
      <c r="R5" s="149"/>
      <c r="S5" s="149"/>
      <c r="T5" s="149"/>
      <c r="U5" s="149"/>
      <c r="V5" s="149"/>
      <c r="W5" s="149"/>
      <c r="X5" s="149"/>
      <c r="Y5" s="149"/>
      <c r="Z5" s="149"/>
      <c r="AA5" s="149"/>
    </row>
    <row r="6" spans="1:27" ht="28" x14ac:dyDescent="0.15">
      <c r="A6" s="140"/>
      <c r="B6" s="288" t="s">
        <v>15</v>
      </c>
      <c r="C6" s="281" t="s">
        <v>12</v>
      </c>
      <c r="D6" s="99"/>
      <c r="E6" s="298" t="s">
        <v>16</v>
      </c>
      <c r="F6" s="287" t="s">
        <v>17</v>
      </c>
      <c r="G6" s="140"/>
      <c r="H6" s="149"/>
      <c r="I6" s="102"/>
      <c r="J6" s="102"/>
      <c r="K6" s="102"/>
      <c r="L6" s="102"/>
      <c r="M6" s="102"/>
      <c r="N6" s="99"/>
      <c r="O6" s="149"/>
      <c r="P6" s="149"/>
      <c r="Q6" s="149"/>
      <c r="R6" s="149"/>
      <c r="S6" s="149"/>
      <c r="T6" s="149"/>
      <c r="U6" s="149"/>
      <c r="V6" s="149"/>
      <c r="W6" s="149"/>
      <c r="X6" s="149"/>
      <c r="Y6" s="149"/>
      <c r="Z6" s="149"/>
      <c r="AA6" s="149"/>
    </row>
    <row r="7" spans="1:27" ht="28" x14ac:dyDescent="0.15">
      <c r="A7" s="140"/>
      <c r="B7" s="288" t="s">
        <v>18</v>
      </c>
      <c r="C7" s="281" t="s">
        <v>12</v>
      </c>
      <c r="D7" s="99"/>
      <c r="E7" s="298" t="s">
        <v>19</v>
      </c>
      <c r="F7" s="287" t="s">
        <v>20</v>
      </c>
      <c r="G7" s="140"/>
      <c r="H7" s="149"/>
      <c r="I7" s="102"/>
      <c r="J7" s="102"/>
      <c r="K7" s="102"/>
      <c r="L7" s="102"/>
      <c r="M7" s="102"/>
      <c r="N7" s="99"/>
      <c r="O7" s="149"/>
      <c r="P7" s="149"/>
      <c r="Q7" s="149"/>
      <c r="R7" s="149"/>
      <c r="S7" s="149"/>
      <c r="T7" s="149"/>
      <c r="U7" s="149"/>
      <c r="V7" s="149"/>
      <c r="W7" s="149"/>
      <c r="X7" s="149"/>
      <c r="Y7" s="149"/>
      <c r="Z7" s="149"/>
      <c r="AA7" s="149"/>
    </row>
    <row r="8" spans="1:27" x14ac:dyDescent="0.15">
      <c r="A8" s="149"/>
      <c r="B8" s="140"/>
      <c r="C8" s="140"/>
      <c r="D8" s="149"/>
      <c r="E8" s="140"/>
      <c r="F8" s="140"/>
      <c r="G8" s="149"/>
      <c r="H8" s="149"/>
      <c r="I8" s="99"/>
      <c r="J8" s="99"/>
      <c r="K8" s="99"/>
      <c r="L8" s="99"/>
      <c r="M8" s="99"/>
      <c r="N8" s="99"/>
      <c r="O8" s="149"/>
      <c r="P8" s="149"/>
      <c r="Q8" s="149"/>
      <c r="R8" s="149"/>
      <c r="S8" s="149"/>
      <c r="T8" s="149"/>
      <c r="U8" s="149"/>
      <c r="V8" s="149"/>
      <c r="W8" s="149"/>
      <c r="X8" s="149"/>
      <c r="Y8" s="149"/>
      <c r="Z8" s="149"/>
      <c r="AA8" s="149"/>
    </row>
    <row r="9" spans="1:27" x14ac:dyDescent="0.15">
      <c r="A9" s="140"/>
      <c r="B9" s="286" t="s">
        <v>7</v>
      </c>
      <c r="C9" s="286" t="s">
        <v>21</v>
      </c>
      <c r="D9" s="98"/>
      <c r="E9" s="390"/>
      <c r="F9" s="98"/>
      <c r="G9" s="149"/>
      <c r="H9" s="149"/>
      <c r="I9" s="149"/>
      <c r="J9" s="149"/>
      <c r="K9" s="149"/>
      <c r="L9" s="149"/>
      <c r="M9" s="149"/>
      <c r="N9" s="149"/>
      <c r="O9" s="149"/>
      <c r="P9" s="149"/>
      <c r="Q9" s="149"/>
      <c r="R9" s="149"/>
      <c r="S9" s="149"/>
      <c r="T9" s="149"/>
      <c r="U9" s="149"/>
      <c r="V9" s="149"/>
      <c r="W9" s="149"/>
      <c r="X9" s="149"/>
      <c r="Y9" s="149"/>
      <c r="Z9" s="149"/>
      <c r="AA9" s="149"/>
    </row>
    <row r="10" spans="1:27" x14ac:dyDescent="0.15">
      <c r="A10" s="140"/>
      <c r="B10" s="293" t="s">
        <v>11</v>
      </c>
      <c r="C10" s="295">
        <f>'Breakdown of Economic Costs '!E66</f>
        <v>30924051.779142857</v>
      </c>
      <c r="D10" s="100"/>
      <c r="E10" s="391"/>
      <c r="F10" s="151"/>
      <c r="G10" s="149"/>
      <c r="H10" s="149"/>
      <c r="I10" s="149"/>
      <c r="J10" s="149"/>
      <c r="K10" s="149"/>
      <c r="L10" s="149"/>
      <c r="M10" s="149"/>
      <c r="N10" s="149"/>
      <c r="O10" s="149"/>
      <c r="P10" s="149"/>
      <c r="Q10" s="149"/>
      <c r="R10" s="149"/>
      <c r="S10" s="149"/>
      <c r="T10" s="149"/>
      <c r="U10" s="149"/>
      <c r="V10" s="149"/>
      <c r="W10" s="149"/>
      <c r="X10" s="149"/>
      <c r="Y10" s="149"/>
      <c r="Z10" s="149"/>
      <c r="AA10" s="149"/>
    </row>
    <row r="11" spans="1:27" ht="12.75" customHeight="1" x14ac:dyDescent="0.15">
      <c r="A11" s="140"/>
      <c r="B11" s="288" t="s">
        <v>15</v>
      </c>
      <c r="C11" s="290">
        <f>'Breakdown of Economic Costs '!E102</f>
        <v>211305223.98089999</v>
      </c>
      <c r="D11" s="100"/>
      <c r="E11" s="151"/>
      <c r="F11" s="151"/>
      <c r="G11" s="149"/>
      <c r="H11" s="149"/>
      <c r="I11" s="149"/>
      <c r="J11" s="149"/>
      <c r="K11" s="149"/>
      <c r="L11" s="149"/>
      <c r="M11" s="149"/>
      <c r="N11" s="149"/>
      <c r="O11" s="149"/>
      <c r="P11" s="149"/>
      <c r="Q11" s="149"/>
      <c r="R11" s="149"/>
      <c r="S11" s="149"/>
      <c r="T11" s="149"/>
      <c r="U11" s="149"/>
      <c r="V11" s="149"/>
      <c r="W11" s="149"/>
      <c r="X11" s="149"/>
      <c r="Y11" s="149"/>
      <c r="Z11" s="149"/>
      <c r="AA11" s="149"/>
    </row>
    <row r="12" spans="1:27" ht="12.75" customHeight="1" x14ac:dyDescent="0.15">
      <c r="A12" s="149"/>
      <c r="B12" s="288" t="s">
        <v>22</v>
      </c>
      <c r="C12" s="291">
        <f>'Breakdown of Economic Costs '!$E$191</f>
        <v>1503.6983970000001</v>
      </c>
      <c r="D12" s="100"/>
      <c r="E12" s="151"/>
      <c r="F12" s="151"/>
      <c r="G12" s="149"/>
      <c r="H12" s="149"/>
      <c r="I12" s="149"/>
      <c r="J12" s="149"/>
      <c r="K12" s="149"/>
      <c r="L12" s="149"/>
      <c r="M12" s="149"/>
      <c r="N12" s="149"/>
      <c r="O12" s="149"/>
      <c r="P12" s="149"/>
      <c r="Q12" s="149"/>
      <c r="R12" s="149"/>
      <c r="S12" s="149"/>
      <c r="T12" s="149"/>
      <c r="U12" s="149"/>
      <c r="V12" s="149"/>
      <c r="W12" s="149"/>
      <c r="X12" s="149"/>
      <c r="Y12" s="149"/>
      <c r="Z12" s="149"/>
      <c r="AA12" s="149"/>
    </row>
    <row r="13" spans="1:27" ht="12.75" customHeight="1" x14ac:dyDescent="0.15">
      <c r="A13" s="149"/>
      <c r="B13" s="288" t="s">
        <v>23</v>
      </c>
      <c r="C13" s="292">
        <f>'Breakdown of Economic Costs '!E193</f>
        <v>14204012.136599999</v>
      </c>
      <c r="D13" s="100"/>
      <c r="E13" s="151"/>
      <c r="F13" s="151"/>
      <c r="G13" s="149"/>
      <c r="H13" s="149"/>
      <c r="I13" s="149"/>
      <c r="J13" s="149"/>
      <c r="K13" s="149"/>
      <c r="L13" s="149"/>
      <c r="M13" s="149"/>
      <c r="N13" s="149"/>
      <c r="O13" s="149"/>
      <c r="P13" s="149"/>
      <c r="Q13" s="149"/>
      <c r="R13" s="149"/>
      <c r="S13" s="149"/>
      <c r="T13" s="149"/>
      <c r="U13" s="149"/>
      <c r="V13" s="149"/>
      <c r="W13" s="149"/>
      <c r="X13" s="149"/>
      <c r="Y13" s="149"/>
      <c r="Z13" s="149"/>
      <c r="AA13" s="149"/>
    </row>
    <row r="14" spans="1:27" s="149" customFormat="1" ht="12.75" customHeight="1" x14ac:dyDescent="0.15">
      <c r="B14" s="175"/>
      <c r="C14" s="196"/>
      <c r="D14" s="100"/>
      <c r="E14" s="151"/>
      <c r="F14" s="151"/>
      <c r="G14" s="140"/>
    </row>
    <row r="15" spans="1:27" s="149" customFormat="1" ht="12.75" customHeight="1" x14ac:dyDescent="0.15">
      <c r="A15" s="140"/>
      <c r="B15" s="286" t="s">
        <v>24</v>
      </c>
      <c r="C15" s="286" t="s">
        <v>25</v>
      </c>
      <c r="D15" s="199"/>
      <c r="E15" s="153"/>
      <c r="F15" s="153"/>
      <c r="G15" s="140"/>
    </row>
    <row r="16" spans="1:27" s="149" customFormat="1" ht="12.75" customHeight="1" x14ac:dyDescent="0.15">
      <c r="A16" s="140"/>
      <c r="B16" s="293" t="s">
        <v>26</v>
      </c>
      <c r="C16" s="296">
        <v>2600</v>
      </c>
      <c r="D16" s="197"/>
      <c r="E16" s="198"/>
      <c r="F16" s="198"/>
      <c r="G16" s="140"/>
    </row>
    <row r="17" spans="1:27" s="149" customFormat="1" ht="12.75" customHeight="1" x14ac:dyDescent="0.15">
      <c r="A17" s="140"/>
      <c r="B17" s="288" t="s">
        <v>27</v>
      </c>
      <c r="C17" s="289">
        <v>35400</v>
      </c>
      <c r="D17" s="197"/>
      <c r="E17" s="198"/>
      <c r="F17" s="198"/>
      <c r="G17" s="140"/>
    </row>
    <row r="18" spans="1:27" s="149" customFormat="1" ht="12.75" customHeight="1" x14ac:dyDescent="0.15">
      <c r="A18" s="140"/>
      <c r="B18" s="288" t="s">
        <v>28</v>
      </c>
      <c r="C18" s="289">
        <f>C16+C17</f>
        <v>38000</v>
      </c>
      <c r="D18" s="197"/>
      <c r="E18" s="198"/>
      <c r="F18" s="198"/>
      <c r="G18" s="140"/>
    </row>
    <row r="19" spans="1:27" s="149" customFormat="1" ht="12.75" customHeight="1" x14ac:dyDescent="0.15">
      <c r="B19" s="175"/>
      <c r="C19" s="196"/>
      <c r="D19" s="100"/>
      <c r="E19" s="151"/>
      <c r="F19" s="151"/>
      <c r="G19" s="140"/>
    </row>
    <row r="20" spans="1:27" s="277" customFormat="1" x14ac:dyDescent="0.15">
      <c r="A20" s="276" t="s">
        <v>29</v>
      </c>
    </row>
    <row r="22" spans="1:27" x14ac:dyDescent="0.15">
      <c r="A22" s="149"/>
      <c r="B22" s="278"/>
      <c r="C22" s="278"/>
      <c r="D22" s="278"/>
      <c r="E22" s="278"/>
      <c r="F22" s="278"/>
      <c r="G22" s="149"/>
      <c r="H22" s="149"/>
      <c r="I22" s="149"/>
      <c r="J22" s="149"/>
      <c r="K22" s="149"/>
      <c r="L22" s="149"/>
      <c r="M22" s="149"/>
      <c r="N22" s="149"/>
      <c r="O22" s="149"/>
      <c r="P22" s="149"/>
      <c r="Q22" s="149"/>
      <c r="R22" s="149"/>
      <c r="S22" s="149"/>
      <c r="T22" s="149"/>
      <c r="U22" s="149"/>
      <c r="V22" s="149"/>
      <c r="W22" s="149"/>
      <c r="X22" s="149"/>
      <c r="Y22" s="149"/>
      <c r="Z22" s="149"/>
      <c r="AA22" s="149"/>
    </row>
    <row r="23" spans="1:27" x14ac:dyDescent="0.15">
      <c r="A23" s="149"/>
      <c r="B23" s="279"/>
      <c r="C23" s="280"/>
      <c r="D23" s="280"/>
      <c r="E23" s="278"/>
      <c r="F23" s="278"/>
      <c r="G23" s="149"/>
      <c r="H23" s="149"/>
      <c r="I23" s="149"/>
      <c r="J23" s="149"/>
      <c r="K23" s="149"/>
      <c r="L23" s="149"/>
      <c r="M23" s="149"/>
      <c r="N23" s="149"/>
      <c r="O23" s="149"/>
      <c r="P23" s="149"/>
      <c r="Q23" s="149"/>
      <c r="R23" s="149"/>
      <c r="S23" s="149"/>
      <c r="T23" s="149"/>
      <c r="U23" s="149"/>
      <c r="V23" s="149"/>
      <c r="W23" s="149"/>
      <c r="X23" s="149"/>
      <c r="Y23" s="149"/>
      <c r="Z23" s="149"/>
      <c r="AA23" s="149"/>
    </row>
    <row r="24" spans="1:27" x14ac:dyDescent="0.15">
      <c r="A24" s="149"/>
      <c r="B24" s="278"/>
      <c r="C24" s="278"/>
      <c r="D24" s="278"/>
      <c r="E24" s="278"/>
      <c r="F24" s="278"/>
      <c r="G24" s="149"/>
      <c r="H24" s="149"/>
      <c r="I24" s="149"/>
      <c r="J24" s="149"/>
      <c r="K24" s="149"/>
      <c r="L24" s="149"/>
      <c r="M24" s="149"/>
      <c r="N24" s="149"/>
      <c r="O24" s="149"/>
      <c r="P24" s="149"/>
      <c r="Q24" s="149"/>
      <c r="R24" s="149"/>
      <c r="S24" s="149"/>
      <c r="T24" s="149"/>
      <c r="U24" s="149"/>
      <c r="V24" s="149"/>
      <c r="W24" s="149"/>
      <c r="X24" s="149"/>
      <c r="Y24" s="149"/>
      <c r="Z24" s="149"/>
      <c r="AA24" s="149"/>
    </row>
    <row r="25" spans="1:27" x14ac:dyDescent="0.15">
      <c r="A25" s="149"/>
      <c r="B25" s="278"/>
      <c r="C25" s="278"/>
      <c r="D25" s="278"/>
      <c r="E25" s="278"/>
      <c r="F25" s="278"/>
      <c r="G25" s="149"/>
      <c r="H25" s="149"/>
      <c r="I25" s="149"/>
      <c r="J25" s="149"/>
      <c r="K25" s="149"/>
      <c r="L25" s="149"/>
      <c r="M25" s="149"/>
      <c r="N25" s="149"/>
      <c r="O25" s="149"/>
      <c r="P25" s="149"/>
      <c r="Q25" s="149"/>
      <c r="R25" s="149"/>
      <c r="S25" s="149"/>
      <c r="T25" s="149"/>
      <c r="U25" s="149"/>
      <c r="V25" s="149"/>
      <c r="W25" s="149"/>
      <c r="X25" s="149"/>
      <c r="Y25" s="149"/>
      <c r="Z25" s="149"/>
      <c r="AA25" s="149"/>
    </row>
    <row r="26" spans="1:27" x14ac:dyDescent="0.15">
      <c r="A26" s="149"/>
      <c r="B26" s="278"/>
      <c r="C26" s="278"/>
      <c r="D26" s="278"/>
      <c r="E26" s="278"/>
      <c r="F26" s="278"/>
      <c r="G26" s="149"/>
      <c r="H26" s="149"/>
      <c r="I26" s="149"/>
      <c r="J26" s="149"/>
      <c r="K26" s="149"/>
      <c r="L26" s="149"/>
      <c r="M26" s="149"/>
      <c r="N26" s="149"/>
      <c r="O26" s="149"/>
      <c r="P26" s="149"/>
      <c r="Q26" s="149"/>
      <c r="R26" s="149"/>
      <c r="S26" s="149"/>
      <c r="T26" s="149"/>
      <c r="U26" s="149"/>
      <c r="V26" s="149"/>
      <c r="W26" s="149"/>
      <c r="X26" s="149"/>
      <c r="Y26" s="149"/>
      <c r="Z26" s="149"/>
      <c r="AA26" s="149"/>
    </row>
    <row r="27" spans="1:27" x14ac:dyDescent="0.15">
      <c r="A27" s="149"/>
      <c r="B27" s="278"/>
      <c r="C27" s="278"/>
      <c r="D27" s="278"/>
      <c r="E27" s="278"/>
      <c r="F27" s="278"/>
      <c r="G27" s="149"/>
      <c r="H27" s="149"/>
      <c r="I27" s="149"/>
      <c r="J27" s="149"/>
      <c r="K27" s="149"/>
      <c r="L27" s="149"/>
      <c r="M27" s="149"/>
      <c r="N27" s="149"/>
      <c r="O27" s="149"/>
      <c r="P27" s="149"/>
      <c r="Q27" s="149"/>
      <c r="R27" s="149"/>
      <c r="S27" s="149"/>
      <c r="T27" s="149"/>
      <c r="U27" s="149"/>
      <c r="V27" s="149"/>
      <c r="W27" s="149"/>
      <c r="X27" s="149"/>
      <c r="Y27" s="149"/>
      <c r="Z27" s="149"/>
      <c r="AA27" s="149"/>
    </row>
    <row r="28" spans="1:27" x14ac:dyDescent="0.15">
      <c r="A28" s="149"/>
      <c r="B28" s="278"/>
      <c r="C28" s="278"/>
      <c r="D28" s="278"/>
      <c r="E28" s="278"/>
      <c r="F28" s="278"/>
      <c r="G28" s="149"/>
      <c r="H28" s="149"/>
      <c r="I28" s="149"/>
      <c r="J28" s="149"/>
      <c r="K28" s="149"/>
      <c r="L28" s="149"/>
      <c r="M28" s="149"/>
      <c r="N28" s="149"/>
      <c r="O28" s="149"/>
      <c r="P28" s="149"/>
      <c r="Q28" s="149"/>
      <c r="R28" s="149"/>
      <c r="S28" s="149"/>
      <c r="T28" s="149"/>
      <c r="U28" s="149"/>
      <c r="V28" s="149"/>
      <c r="W28" s="149"/>
      <c r="X28" s="149"/>
      <c r="Y28" s="149"/>
      <c r="Z28" s="149"/>
      <c r="AA28" s="149"/>
    </row>
    <row r="29" spans="1:27" x14ac:dyDescent="0.15">
      <c r="A29" s="149"/>
      <c r="B29" s="278"/>
      <c r="C29" s="278"/>
      <c r="D29" s="278"/>
      <c r="E29" s="278"/>
      <c r="F29" s="278"/>
      <c r="G29" s="149"/>
      <c r="H29" s="149"/>
      <c r="I29" s="149"/>
      <c r="J29" s="149"/>
      <c r="K29" s="149"/>
      <c r="L29" s="149"/>
      <c r="M29" s="149"/>
      <c r="N29" s="149"/>
      <c r="O29" s="149"/>
      <c r="P29" s="149"/>
      <c r="Q29" s="149"/>
      <c r="R29" s="149"/>
      <c r="S29" s="149"/>
      <c r="T29" s="149"/>
      <c r="U29" s="149"/>
      <c r="V29" s="149"/>
      <c r="W29" s="149"/>
      <c r="X29" s="149"/>
      <c r="Y29" s="149"/>
      <c r="Z29" s="149"/>
      <c r="AA29" s="149"/>
    </row>
    <row r="30" spans="1:27" x14ac:dyDescent="0.15">
      <c r="A30" s="149"/>
      <c r="B30" s="278"/>
      <c r="C30" s="278"/>
      <c r="D30" s="278"/>
      <c r="E30" s="278"/>
      <c r="F30" s="278"/>
      <c r="G30" s="149"/>
      <c r="H30" s="149"/>
      <c r="I30" s="149"/>
      <c r="J30" s="149"/>
      <c r="K30" s="149"/>
      <c r="L30" s="149"/>
      <c r="M30" s="149"/>
      <c r="N30" s="149"/>
      <c r="O30" s="149"/>
      <c r="P30" s="149"/>
      <c r="Q30" s="149"/>
      <c r="R30" s="149"/>
      <c r="S30" s="149"/>
      <c r="T30" s="149"/>
      <c r="U30" s="149"/>
      <c r="V30" s="149"/>
      <c r="W30" s="149"/>
      <c r="X30" s="149"/>
      <c r="Y30" s="149"/>
      <c r="Z30" s="149"/>
      <c r="AA30" s="149"/>
    </row>
    <row r="31" spans="1:27" x14ac:dyDescent="0.15">
      <c r="A31" s="149"/>
      <c r="B31" s="278"/>
      <c r="C31" s="278"/>
      <c r="D31" s="278"/>
      <c r="E31" s="278"/>
      <c r="F31" s="278"/>
      <c r="G31" s="149"/>
      <c r="H31" s="149"/>
      <c r="I31" s="149"/>
      <c r="J31" s="149"/>
      <c r="K31" s="149"/>
      <c r="L31" s="149"/>
      <c r="M31" s="149"/>
      <c r="N31" s="149"/>
      <c r="O31" s="149"/>
      <c r="P31" s="149"/>
      <c r="Q31" s="149"/>
      <c r="R31" s="149"/>
      <c r="S31" s="149"/>
      <c r="T31" s="149"/>
      <c r="U31" s="149"/>
      <c r="V31" s="149"/>
      <c r="W31" s="149"/>
      <c r="X31" s="149"/>
      <c r="Y31" s="149"/>
      <c r="Z31" s="149"/>
      <c r="AA31" s="149"/>
    </row>
    <row r="32" spans="1:27" x14ac:dyDescent="0.15">
      <c r="A32" s="149"/>
      <c r="B32" s="278"/>
      <c r="C32" s="278"/>
      <c r="D32" s="278"/>
      <c r="E32" s="278"/>
      <c r="F32" s="278"/>
      <c r="G32" s="149"/>
      <c r="H32" s="149"/>
      <c r="I32" s="149"/>
      <c r="J32" s="149"/>
      <c r="K32" s="149"/>
      <c r="L32" s="149"/>
      <c r="M32" s="149"/>
      <c r="N32" s="149"/>
      <c r="O32" s="149"/>
      <c r="P32" s="149"/>
      <c r="Q32" s="149"/>
      <c r="R32" s="149"/>
      <c r="S32" s="149"/>
      <c r="T32" s="149"/>
      <c r="U32" s="149"/>
      <c r="V32" s="149"/>
      <c r="W32" s="149"/>
      <c r="X32" s="149"/>
      <c r="Y32" s="149"/>
      <c r="Z32" s="149"/>
      <c r="AA32" s="149"/>
    </row>
    <row r="33" spans="1:27" x14ac:dyDescent="0.15">
      <c r="A33" s="149"/>
      <c r="B33" s="278"/>
      <c r="C33" s="278"/>
      <c r="D33" s="278"/>
      <c r="E33" s="278"/>
      <c r="F33" s="278"/>
      <c r="G33" s="149"/>
      <c r="H33" s="149"/>
      <c r="I33" s="149"/>
      <c r="J33" s="149"/>
      <c r="K33" s="149"/>
      <c r="L33" s="149"/>
      <c r="M33" s="149"/>
      <c r="N33" s="149"/>
      <c r="O33" s="149"/>
      <c r="P33" s="149"/>
      <c r="Q33" s="149"/>
      <c r="R33" s="149"/>
      <c r="S33" s="149"/>
      <c r="T33" s="149"/>
      <c r="U33" s="149"/>
      <c r="V33" s="149"/>
      <c r="W33" s="149"/>
      <c r="X33" s="149"/>
      <c r="Y33" s="149"/>
      <c r="Z33" s="149"/>
      <c r="AA33" s="149"/>
    </row>
    <row r="34" spans="1:27" x14ac:dyDescent="0.15">
      <c r="A34" s="149"/>
      <c r="B34" s="278"/>
      <c r="C34" s="278"/>
      <c r="D34" s="278"/>
      <c r="E34" s="278"/>
      <c r="F34" s="278"/>
      <c r="G34" s="149"/>
      <c r="H34" s="149"/>
      <c r="I34" s="149"/>
      <c r="J34" s="149"/>
      <c r="K34" s="149"/>
      <c r="L34" s="149"/>
      <c r="M34" s="149"/>
      <c r="N34" s="149"/>
      <c r="O34" s="149"/>
      <c r="P34" s="149"/>
      <c r="Q34" s="149"/>
      <c r="R34" s="149"/>
      <c r="S34" s="149"/>
      <c r="T34" s="149"/>
      <c r="U34" s="149"/>
      <c r="V34" s="149"/>
      <c r="W34" s="149"/>
      <c r="X34" s="149"/>
      <c r="Y34" s="149"/>
      <c r="Z34" s="149"/>
      <c r="AA34" s="149"/>
    </row>
    <row r="35" spans="1:27" x14ac:dyDescent="0.15">
      <c r="A35" s="149"/>
      <c r="B35" s="278"/>
      <c r="C35" s="278"/>
      <c r="D35" s="278"/>
      <c r="E35" s="278"/>
      <c r="F35" s="278"/>
      <c r="G35" s="149"/>
      <c r="H35" s="149"/>
      <c r="I35" s="149"/>
      <c r="J35" s="149"/>
      <c r="K35" s="149"/>
      <c r="L35" s="149"/>
      <c r="M35" s="149"/>
      <c r="N35" s="149"/>
      <c r="O35" s="149"/>
      <c r="P35" s="149"/>
      <c r="Q35" s="149"/>
      <c r="R35" s="149"/>
      <c r="S35" s="149"/>
      <c r="T35" s="149"/>
      <c r="U35" s="149"/>
      <c r="V35" s="149"/>
      <c r="W35" s="149"/>
      <c r="X35" s="149"/>
      <c r="Y35" s="149"/>
      <c r="Z35" s="149"/>
      <c r="AA35" s="149"/>
    </row>
    <row r="36" spans="1:27" x14ac:dyDescent="0.15">
      <c r="A36" s="149"/>
      <c r="B36" s="278"/>
      <c r="C36" s="278"/>
      <c r="D36" s="278"/>
      <c r="E36" s="278"/>
      <c r="F36" s="278"/>
      <c r="G36" s="149"/>
      <c r="H36" s="149"/>
      <c r="I36" s="149"/>
      <c r="J36" s="149"/>
      <c r="K36" s="149"/>
      <c r="L36" s="149"/>
      <c r="M36" s="149"/>
      <c r="N36" s="149"/>
      <c r="O36" s="149"/>
      <c r="P36" s="149"/>
      <c r="Q36" s="149"/>
      <c r="R36" s="149"/>
      <c r="S36" s="149"/>
      <c r="T36" s="149"/>
      <c r="U36" s="149"/>
      <c r="V36" s="149"/>
      <c r="W36" s="149"/>
      <c r="X36" s="149"/>
      <c r="Y36" s="149"/>
      <c r="Z36" s="149"/>
      <c r="AA36" s="149"/>
    </row>
    <row r="37" spans="1:27" x14ac:dyDescent="0.15">
      <c r="A37" s="149"/>
      <c r="B37" s="278"/>
      <c r="C37" s="278"/>
      <c r="D37" s="278"/>
      <c r="E37" s="278"/>
      <c r="F37" s="278"/>
      <c r="G37" s="149"/>
      <c r="H37" s="149"/>
      <c r="I37" s="149"/>
      <c r="J37" s="149"/>
      <c r="K37" s="149"/>
      <c r="L37" s="149"/>
      <c r="M37" s="149"/>
      <c r="N37" s="149"/>
      <c r="O37" s="149"/>
      <c r="P37" s="149"/>
      <c r="Q37" s="149"/>
      <c r="R37" s="149"/>
      <c r="S37" s="149"/>
      <c r="T37" s="149"/>
      <c r="U37" s="149"/>
      <c r="V37" s="149"/>
      <c r="W37" s="149"/>
      <c r="X37" s="149"/>
      <c r="Y37" s="149"/>
      <c r="Z37" s="149"/>
      <c r="AA37" s="149"/>
    </row>
    <row r="38" spans="1:27" x14ac:dyDescent="0.15">
      <c r="A38" s="149"/>
      <c r="B38" s="278"/>
      <c r="C38" s="278"/>
      <c r="D38" s="278"/>
      <c r="E38" s="278"/>
      <c r="F38" s="278"/>
      <c r="G38" s="149"/>
      <c r="H38" s="149"/>
      <c r="I38" s="149"/>
      <c r="J38" s="149"/>
      <c r="K38" s="149"/>
      <c r="L38" s="149"/>
      <c r="M38" s="149"/>
      <c r="N38" s="149"/>
      <c r="O38" s="149"/>
      <c r="P38" s="149"/>
      <c r="Q38" s="149"/>
      <c r="R38" s="149"/>
      <c r="S38" s="149"/>
      <c r="T38" s="149"/>
      <c r="U38" s="149"/>
      <c r="V38" s="149"/>
      <c r="W38" s="149"/>
      <c r="X38" s="149"/>
      <c r="Y38" s="149"/>
      <c r="Z38" s="149"/>
      <c r="AA38" s="149"/>
    </row>
    <row r="39" spans="1:27" x14ac:dyDescent="0.15">
      <c r="A39" s="149"/>
      <c r="B39" s="278"/>
      <c r="C39" s="278"/>
      <c r="D39" s="278"/>
      <c r="E39" s="278"/>
      <c r="F39" s="278"/>
      <c r="G39" s="149"/>
      <c r="H39" s="149"/>
      <c r="I39" s="149"/>
      <c r="J39" s="149"/>
      <c r="K39" s="149"/>
      <c r="L39" s="149"/>
      <c r="M39" s="149"/>
      <c r="N39" s="149"/>
      <c r="O39" s="149"/>
      <c r="P39" s="149"/>
      <c r="Q39" s="149"/>
      <c r="R39" s="149"/>
      <c r="S39" s="149"/>
      <c r="T39" s="149"/>
      <c r="U39" s="149"/>
      <c r="V39" s="149"/>
      <c r="W39" s="149"/>
      <c r="X39" s="149"/>
      <c r="Y39" s="149"/>
      <c r="Z39" s="149"/>
      <c r="AA39" s="149"/>
    </row>
    <row r="40" spans="1:27" x14ac:dyDescent="0.15">
      <c r="A40" s="149"/>
      <c r="B40" s="278"/>
      <c r="C40" s="278"/>
      <c r="D40" s="278"/>
      <c r="E40" s="278"/>
      <c r="F40" s="278"/>
      <c r="G40" s="149"/>
      <c r="H40" s="149"/>
      <c r="I40" s="149"/>
      <c r="J40" s="149"/>
      <c r="K40" s="149"/>
      <c r="L40" s="149"/>
      <c r="M40" s="149"/>
      <c r="N40" s="149"/>
      <c r="O40" s="149"/>
      <c r="P40" s="149"/>
      <c r="Q40" s="149"/>
      <c r="R40" s="149"/>
      <c r="S40" s="149"/>
      <c r="T40" s="149"/>
      <c r="U40" s="149"/>
      <c r="V40" s="149"/>
      <c r="W40" s="149"/>
      <c r="X40" s="149"/>
      <c r="Y40" s="149"/>
      <c r="Z40" s="149"/>
      <c r="AA40" s="149"/>
    </row>
    <row r="41" spans="1:27" x14ac:dyDescent="0.15">
      <c r="A41" s="149"/>
      <c r="B41" s="278"/>
      <c r="C41" s="278"/>
      <c r="D41" s="278"/>
      <c r="E41" s="278"/>
      <c r="F41" s="278"/>
      <c r="G41" s="149"/>
      <c r="H41" s="149"/>
      <c r="I41" s="149"/>
      <c r="J41" s="149"/>
      <c r="K41" s="149"/>
      <c r="L41" s="149"/>
      <c r="M41" s="149"/>
      <c r="N41" s="149"/>
      <c r="O41" s="149"/>
      <c r="P41" s="149"/>
      <c r="Q41" s="149"/>
      <c r="R41" s="149"/>
      <c r="S41" s="149"/>
      <c r="T41" s="149"/>
      <c r="U41" s="149"/>
      <c r="V41" s="149"/>
      <c r="W41" s="149"/>
      <c r="X41" s="149"/>
      <c r="Y41" s="149"/>
      <c r="Z41" s="149"/>
      <c r="AA41" s="149"/>
    </row>
    <row r="42" spans="1:27" x14ac:dyDescent="0.15">
      <c r="A42" s="149"/>
      <c r="B42" s="278"/>
      <c r="C42" s="278"/>
      <c r="D42" s="278"/>
      <c r="E42" s="278"/>
      <c r="F42" s="278"/>
      <c r="G42" s="149"/>
      <c r="H42" s="149"/>
      <c r="I42" s="149"/>
      <c r="J42" s="149"/>
      <c r="K42" s="149"/>
      <c r="L42" s="149"/>
      <c r="M42" s="149"/>
      <c r="N42" s="149"/>
      <c r="O42" s="149"/>
      <c r="P42" s="149"/>
      <c r="Q42" s="149"/>
      <c r="R42" s="149"/>
      <c r="S42" s="149"/>
      <c r="T42" s="149"/>
      <c r="U42" s="149"/>
      <c r="V42" s="149"/>
      <c r="W42" s="149"/>
      <c r="X42" s="149"/>
      <c r="Y42" s="149"/>
      <c r="Z42" s="149"/>
      <c r="AA42" s="149"/>
    </row>
    <row r="43" spans="1:27" x14ac:dyDescent="0.15">
      <c r="A43" s="149"/>
      <c r="B43" s="278"/>
      <c r="C43" s="278"/>
      <c r="D43" s="278"/>
      <c r="E43" s="278"/>
      <c r="F43" s="278"/>
      <c r="G43" s="149"/>
      <c r="H43" s="149"/>
      <c r="I43" s="149"/>
      <c r="J43" s="149"/>
      <c r="K43" s="149"/>
      <c r="L43" s="149"/>
      <c r="M43" s="149"/>
      <c r="N43" s="149"/>
      <c r="O43" s="149"/>
      <c r="P43" s="149"/>
      <c r="Q43" s="149"/>
      <c r="R43" s="149"/>
      <c r="S43" s="149"/>
      <c r="T43" s="149"/>
      <c r="U43" s="149"/>
      <c r="V43" s="149"/>
      <c r="W43" s="149"/>
      <c r="X43" s="149"/>
      <c r="Y43" s="149"/>
      <c r="Z43" s="149"/>
      <c r="AA43" s="149"/>
    </row>
    <row r="44" spans="1:27" x14ac:dyDescent="0.15">
      <c r="A44" s="149"/>
      <c r="B44" s="278"/>
      <c r="C44" s="278"/>
      <c r="D44" s="278"/>
      <c r="E44" s="278"/>
      <c r="F44" s="278"/>
      <c r="G44" s="149"/>
      <c r="H44" s="149"/>
      <c r="I44" s="149"/>
      <c r="J44" s="149"/>
      <c r="K44" s="149"/>
      <c r="L44" s="149"/>
      <c r="M44" s="149"/>
      <c r="N44" s="149"/>
      <c r="O44" s="149"/>
      <c r="P44" s="149"/>
      <c r="Q44" s="149"/>
      <c r="R44" s="149"/>
      <c r="S44" s="149"/>
      <c r="T44" s="149"/>
      <c r="U44" s="149"/>
      <c r="V44" s="149"/>
      <c r="W44" s="149"/>
      <c r="X44" s="149"/>
      <c r="Y44" s="149"/>
      <c r="Z44" s="149"/>
      <c r="AA44" s="149"/>
    </row>
    <row r="45" spans="1:27" x14ac:dyDescent="0.15">
      <c r="A45" s="149"/>
      <c r="B45" s="278"/>
      <c r="C45" s="278"/>
      <c r="D45" s="278"/>
      <c r="E45" s="278"/>
      <c r="F45" s="278"/>
      <c r="G45" s="149"/>
      <c r="H45" s="149"/>
      <c r="I45" s="149"/>
      <c r="J45" s="149"/>
      <c r="K45" s="149"/>
      <c r="L45" s="149"/>
      <c r="M45" s="149"/>
      <c r="N45" s="149"/>
      <c r="O45" s="149"/>
      <c r="P45" s="149"/>
      <c r="Q45" s="149"/>
      <c r="R45" s="149"/>
      <c r="S45" s="149"/>
      <c r="T45" s="149"/>
      <c r="U45" s="149"/>
      <c r="V45" s="149"/>
      <c r="W45" s="149"/>
      <c r="X45" s="149"/>
      <c r="Y45" s="149"/>
      <c r="Z45" s="149"/>
      <c r="AA45" s="149"/>
    </row>
    <row r="46" spans="1:27" x14ac:dyDescent="0.15">
      <c r="A46" s="149"/>
      <c r="B46" s="278"/>
      <c r="C46" s="278"/>
      <c r="D46" s="278"/>
      <c r="E46" s="278"/>
      <c r="F46" s="278"/>
      <c r="G46" s="149"/>
      <c r="H46" s="149"/>
      <c r="I46" s="149"/>
      <c r="J46" s="149"/>
      <c r="K46" s="149"/>
      <c r="L46" s="149"/>
      <c r="M46" s="149"/>
      <c r="N46" s="149"/>
      <c r="O46" s="149"/>
      <c r="P46" s="149"/>
      <c r="Q46" s="149"/>
      <c r="R46" s="149"/>
      <c r="S46" s="149"/>
      <c r="T46" s="149"/>
      <c r="U46" s="149"/>
      <c r="V46" s="149"/>
      <c r="W46" s="149"/>
      <c r="X46" s="149"/>
      <c r="Y46" s="149"/>
      <c r="Z46" s="149"/>
      <c r="AA46" s="149"/>
    </row>
    <row r="47" spans="1:27" x14ac:dyDescent="0.15">
      <c r="A47" s="149"/>
      <c r="B47" s="278"/>
      <c r="C47" s="278"/>
      <c r="D47" s="278"/>
      <c r="E47" s="278"/>
      <c r="F47" s="278"/>
      <c r="G47" s="149"/>
      <c r="H47" s="149"/>
      <c r="I47" s="149"/>
      <c r="J47" s="149"/>
      <c r="K47" s="149"/>
      <c r="L47" s="149"/>
      <c r="M47" s="149"/>
      <c r="N47" s="149"/>
      <c r="O47" s="149"/>
      <c r="P47" s="149"/>
      <c r="Q47" s="149"/>
      <c r="R47" s="149"/>
      <c r="S47" s="149"/>
      <c r="T47" s="149"/>
      <c r="U47" s="149"/>
      <c r="V47" s="149"/>
      <c r="W47" s="149"/>
      <c r="X47" s="149"/>
      <c r="Y47" s="149"/>
      <c r="Z47" s="149"/>
      <c r="AA47" s="149"/>
    </row>
    <row r="48" spans="1:27" x14ac:dyDescent="0.15">
      <c r="A48" s="149"/>
      <c r="B48" s="278"/>
      <c r="C48" s="278"/>
      <c r="D48" s="278"/>
      <c r="E48" s="278"/>
      <c r="F48" s="278"/>
      <c r="G48" s="149"/>
      <c r="H48" s="149"/>
      <c r="I48" s="149"/>
      <c r="J48" s="149"/>
      <c r="K48" s="149"/>
      <c r="L48" s="149"/>
      <c r="M48" s="149"/>
      <c r="N48" s="149"/>
      <c r="O48" s="149"/>
      <c r="P48" s="149"/>
      <c r="Q48" s="149"/>
      <c r="R48" s="149"/>
      <c r="S48" s="149"/>
      <c r="T48" s="149"/>
      <c r="U48" s="149"/>
      <c r="V48" s="149"/>
      <c r="W48" s="149"/>
      <c r="X48" s="149"/>
      <c r="Y48" s="149"/>
      <c r="Z48" s="149"/>
      <c r="AA48" s="149"/>
    </row>
    <row r="49" spans="1:27" x14ac:dyDescent="0.15">
      <c r="A49" s="149"/>
      <c r="B49" s="278"/>
      <c r="C49" s="278"/>
      <c r="D49" s="278"/>
      <c r="E49" s="278"/>
      <c r="F49" s="278"/>
      <c r="G49" s="149"/>
      <c r="H49" s="149"/>
      <c r="I49" s="149"/>
      <c r="J49" s="149"/>
      <c r="K49" s="149"/>
      <c r="L49" s="149"/>
      <c r="M49" s="149"/>
      <c r="N49" s="149"/>
      <c r="O49" s="149"/>
      <c r="P49" s="149"/>
      <c r="Q49" s="149"/>
      <c r="R49" s="149"/>
      <c r="S49" s="149"/>
      <c r="T49" s="149"/>
      <c r="U49" s="149"/>
      <c r="V49" s="149"/>
      <c r="W49" s="149"/>
      <c r="X49" s="149"/>
      <c r="Y49" s="149"/>
      <c r="Z49" s="149"/>
      <c r="AA49" s="149"/>
    </row>
    <row r="50" spans="1:27" x14ac:dyDescent="0.15">
      <c r="A50" s="149"/>
      <c r="B50" s="278"/>
      <c r="C50" s="278"/>
      <c r="D50" s="278"/>
      <c r="E50" s="278"/>
      <c r="F50" s="278"/>
      <c r="G50" s="149"/>
      <c r="H50" s="149"/>
      <c r="I50" s="149"/>
      <c r="J50" s="149"/>
      <c r="K50" s="149"/>
      <c r="L50" s="149"/>
      <c r="M50" s="149"/>
      <c r="N50" s="149"/>
      <c r="O50" s="149"/>
      <c r="P50" s="149"/>
      <c r="Q50" s="149"/>
      <c r="R50" s="149"/>
      <c r="S50" s="149"/>
      <c r="T50" s="149"/>
      <c r="U50" s="149"/>
      <c r="V50" s="149"/>
      <c r="W50" s="149"/>
      <c r="X50" s="149"/>
      <c r="Y50" s="149"/>
      <c r="Z50" s="149"/>
      <c r="AA50" s="149"/>
    </row>
    <row r="51" spans="1:27" x14ac:dyDescent="0.15">
      <c r="A51" s="149"/>
      <c r="B51" s="278"/>
      <c r="C51" s="278"/>
      <c r="D51" s="278"/>
      <c r="E51" s="278"/>
      <c r="F51" s="278"/>
      <c r="G51" s="149"/>
      <c r="H51" s="149"/>
      <c r="I51" s="149"/>
      <c r="J51" s="149"/>
      <c r="K51" s="149"/>
      <c r="L51" s="149"/>
      <c r="M51" s="149"/>
      <c r="N51" s="149"/>
      <c r="O51" s="149"/>
      <c r="P51" s="149"/>
      <c r="Q51" s="149"/>
      <c r="R51" s="149"/>
      <c r="S51" s="149"/>
      <c r="T51" s="149"/>
      <c r="U51" s="149"/>
      <c r="V51" s="149"/>
      <c r="W51" s="149"/>
      <c r="X51" s="149"/>
      <c r="Y51" s="149"/>
      <c r="Z51" s="149"/>
      <c r="AA51" s="149"/>
    </row>
    <row r="52" spans="1:27" x14ac:dyDescent="0.15">
      <c r="A52" s="149"/>
      <c r="B52" s="278"/>
      <c r="C52" s="278"/>
      <c r="D52" s="278"/>
      <c r="E52" s="278"/>
      <c r="F52" s="278"/>
      <c r="G52" s="149"/>
      <c r="H52" s="149"/>
      <c r="I52" s="149"/>
      <c r="J52" s="149"/>
      <c r="K52" s="149"/>
      <c r="L52" s="149"/>
      <c r="M52" s="149"/>
      <c r="N52" s="149"/>
      <c r="O52" s="149"/>
      <c r="P52" s="149"/>
      <c r="Q52" s="149"/>
      <c r="R52" s="149"/>
      <c r="S52" s="149"/>
      <c r="T52" s="149"/>
      <c r="U52" s="149"/>
      <c r="V52" s="149"/>
      <c r="W52" s="149"/>
      <c r="X52" s="149"/>
      <c r="Y52" s="149"/>
      <c r="Z52" s="149"/>
      <c r="AA52" s="149"/>
    </row>
    <row r="53" spans="1:27" x14ac:dyDescent="0.15">
      <c r="A53" s="149"/>
      <c r="B53" s="278"/>
      <c r="C53" s="278"/>
      <c r="D53" s="278"/>
      <c r="E53" s="278"/>
      <c r="F53" s="278"/>
      <c r="G53" s="149"/>
      <c r="H53" s="149"/>
      <c r="I53" s="149"/>
      <c r="J53" s="149"/>
      <c r="K53" s="149"/>
      <c r="L53" s="149"/>
      <c r="M53" s="149"/>
      <c r="N53" s="149"/>
      <c r="O53" s="149"/>
      <c r="P53" s="149"/>
      <c r="Q53" s="149"/>
      <c r="R53" s="149"/>
      <c r="S53" s="149"/>
      <c r="T53" s="149"/>
      <c r="U53" s="149"/>
      <c r="V53" s="149"/>
      <c r="W53" s="149"/>
      <c r="X53" s="149"/>
      <c r="Y53" s="149"/>
      <c r="Z53" s="149"/>
      <c r="AA53" s="149"/>
    </row>
    <row r="54" spans="1:27" x14ac:dyDescent="0.15">
      <c r="A54" s="149"/>
      <c r="B54" s="278"/>
      <c r="C54" s="278"/>
      <c r="D54" s="278"/>
      <c r="E54" s="278"/>
      <c r="F54" s="278"/>
      <c r="G54" s="149"/>
      <c r="H54" s="149"/>
      <c r="I54" s="149"/>
      <c r="J54" s="149"/>
      <c r="K54" s="149"/>
      <c r="L54" s="149"/>
      <c r="M54" s="149"/>
      <c r="N54" s="149"/>
      <c r="O54" s="149"/>
      <c r="P54" s="149"/>
      <c r="Q54" s="149"/>
      <c r="R54" s="149"/>
      <c r="S54" s="149"/>
      <c r="T54" s="149"/>
      <c r="U54" s="149"/>
      <c r="V54" s="149"/>
      <c r="W54" s="149"/>
      <c r="X54" s="149"/>
      <c r="Y54" s="149"/>
      <c r="Z54" s="149"/>
      <c r="AA54" s="149"/>
    </row>
    <row r="55" spans="1:27" x14ac:dyDescent="0.15">
      <c r="A55" s="149"/>
      <c r="B55" s="278"/>
      <c r="C55" s="278"/>
      <c r="D55" s="278"/>
      <c r="E55" s="278"/>
      <c r="F55" s="278"/>
      <c r="G55" s="149"/>
      <c r="H55" s="149"/>
      <c r="I55" s="149"/>
      <c r="J55" s="149"/>
      <c r="K55" s="149"/>
      <c r="L55" s="149"/>
      <c r="M55" s="149"/>
      <c r="N55" s="149"/>
      <c r="O55" s="149"/>
      <c r="P55" s="149"/>
      <c r="Q55" s="149"/>
      <c r="R55" s="149"/>
      <c r="S55" s="149"/>
      <c r="T55" s="149"/>
      <c r="U55" s="149"/>
      <c r="V55" s="149"/>
      <c r="W55" s="149"/>
      <c r="X55" s="149"/>
      <c r="Y55" s="149"/>
      <c r="Z55" s="149"/>
      <c r="AA55" s="149"/>
    </row>
    <row r="56" spans="1:27" x14ac:dyDescent="0.15">
      <c r="A56" s="149"/>
      <c r="B56" s="278"/>
      <c r="C56" s="278"/>
      <c r="D56" s="278"/>
      <c r="E56" s="278"/>
      <c r="F56" s="278"/>
      <c r="G56" s="149"/>
      <c r="H56" s="149"/>
      <c r="I56" s="149"/>
      <c r="J56" s="149"/>
      <c r="K56" s="149"/>
      <c r="L56" s="149"/>
      <c r="M56" s="149"/>
      <c r="N56" s="149"/>
      <c r="O56" s="149"/>
      <c r="P56" s="149"/>
      <c r="Q56" s="149"/>
      <c r="R56" s="149"/>
      <c r="S56" s="149"/>
      <c r="T56" s="149"/>
      <c r="U56" s="149"/>
      <c r="V56" s="149"/>
      <c r="W56" s="149"/>
      <c r="X56" s="149"/>
      <c r="Y56" s="149"/>
      <c r="Z56" s="149"/>
      <c r="AA56" s="149"/>
    </row>
    <row r="57" spans="1:27" x14ac:dyDescent="0.15">
      <c r="A57" s="149"/>
      <c r="B57" s="278"/>
      <c r="C57" s="278"/>
      <c r="D57" s="278"/>
      <c r="E57" s="278"/>
      <c r="F57" s="278"/>
      <c r="G57" s="149"/>
      <c r="H57" s="149"/>
      <c r="I57" s="149"/>
      <c r="J57" s="149"/>
      <c r="K57" s="149"/>
      <c r="L57" s="149"/>
      <c r="M57" s="149"/>
      <c r="N57" s="149"/>
      <c r="O57" s="149"/>
      <c r="P57" s="149"/>
      <c r="Q57" s="149"/>
      <c r="R57" s="149"/>
      <c r="S57" s="149"/>
      <c r="T57" s="149"/>
      <c r="U57" s="149"/>
      <c r="V57" s="149"/>
      <c r="W57" s="149"/>
      <c r="X57" s="149"/>
      <c r="Y57" s="149"/>
      <c r="Z57" s="149"/>
      <c r="AA57" s="149"/>
    </row>
    <row r="58" spans="1:27" x14ac:dyDescent="0.15">
      <c r="A58" s="149"/>
      <c r="B58" s="278"/>
      <c r="C58" s="278"/>
      <c r="D58" s="278"/>
      <c r="E58" s="278"/>
      <c r="F58" s="278"/>
      <c r="G58" s="149"/>
      <c r="H58" s="149"/>
      <c r="I58" s="149"/>
      <c r="J58" s="149"/>
      <c r="K58" s="149"/>
      <c r="L58" s="149"/>
      <c r="M58" s="149"/>
      <c r="N58" s="149"/>
      <c r="O58" s="149"/>
      <c r="P58" s="149"/>
      <c r="Q58" s="149"/>
      <c r="R58" s="149"/>
      <c r="S58" s="149"/>
      <c r="T58" s="149"/>
      <c r="U58" s="149"/>
      <c r="V58" s="149"/>
      <c r="W58" s="149"/>
      <c r="X58" s="149"/>
      <c r="Y58" s="149"/>
      <c r="Z58" s="149"/>
      <c r="AA58" s="149"/>
    </row>
    <row r="59" spans="1:27" x14ac:dyDescent="0.15">
      <c r="A59" s="149"/>
      <c r="B59" s="278"/>
      <c r="C59" s="278"/>
      <c r="D59" s="278"/>
      <c r="E59" s="278"/>
      <c r="F59" s="278"/>
      <c r="G59" s="149"/>
      <c r="H59" s="149"/>
      <c r="I59" s="149"/>
      <c r="J59" s="149"/>
      <c r="K59" s="149"/>
      <c r="L59" s="149"/>
      <c r="M59" s="149"/>
      <c r="N59" s="149"/>
      <c r="O59" s="149"/>
      <c r="P59" s="149"/>
      <c r="Q59" s="149"/>
      <c r="R59" s="149"/>
      <c r="S59" s="149"/>
      <c r="T59" s="149"/>
      <c r="U59" s="149"/>
      <c r="V59" s="149"/>
      <c r="W59" s="149"/>
      <c r="X59" s="149"/>
      <c r="Y59" s="149"/>
      <c r="Z59" s="149"/>
      <c r="AA59" s="149"/>
    </row>
    <row r="60" spans="1:27" x14ac:dyDescent="0.15">
      <c r="A60" s="149"/>
      <c r="B60" s="278"/>
      <c r="C60" s="278"/>
      <c r="D60" s="278"/>
      <c r="E60" s="278"/>
      <c r="F60" s="278"/>
      <c r="G60" s="149"/>
      <c r="H60" s="149"/>
      <c r="I60" s="149"/>
      <c r="J60" s="149"/>
      <c r="K60" s="149"/>
      <c r="L60" s="149"/>
      <c r="M60" s="149"/>
      <c r="N60" s="149"/>
      <c r="O60" s="149"/>
      <c r="P60" s="149"/>
      <c r="Q60" s="149"/>
      <c r="R60" s="149"/>
      <c r="S60" s="149"/>
      <c r="T60" s="149"/>
      <c r="U60" s="149"/>
      <c r="V60" s="149"/>
      <c r="W60" s="149"/>
      <c r="X60" s="149"/>
      <c r="Y60" s="149"/>
      <c r="Z60" s="149"/>
      <c r="AA60" s="149"/>
    </row>
    <row r="62" spans="1:27" x14ac:dyDescent="0.15">
      <c r="A62" s="140"/>
      <c r="B62" s="204"/>
      <c r="C62" s="204"/>
      <c r="D62" s="204"/>
      <c r="E62" s="204"/>
      <c r="F62" s="204"/>
      <c r="G62" s="149"/>
      <c r="H62" s="149"/>
      <c r="I62" s="149"/>
      <c r="J62" s="149"/>
      <c r="K62" s="149"/>
      <c r="L62" s="149"/>
      <c r="M62" s="149"/>
      <c r="N62" s="149"/>
      <c r="O62" s="149"/>
      <c r="P62" s="149"/>
      <c r="Q62" s="149"/>
      <c r="R62" s="149"/>
      <c r="S62" s="149"/>
      <c r="T62" s="149"/>
      <c r="U62" s="149"/>
      <c r="V62" s="149"/>
      <c r="W62" s="149"/>
      <c r="X62" s="149"/>
      <c r="Y62" s="149"/>
      <c r="Z62" s="149"/>
      <c r="AA62" s="149"/>
    </row>
    <row r="63" spans="1:27" ht="22.5" customHeight="1" x14ac:dyDescent="0.15">
      <c r="A63" s="140"/>
      <c r="B63" s="212"/>
      <c r="C63" s="212"/>
      <c r="D63" s="213"/>
      <c r="E63" s="213"/>
      <c r="F63" s="213"/>
      <c r="G63" s="149"/>
      <c r="H63" s="149"/>
      <c r="I63" s="149"/>
      <c r="J63" s="149"/>
      <c r="K63" s="149"/>
      <c r="L63" s="149"/>
      <c r="M63" s="210"/>
      <c r="N63" s="211"/>
      <c r="O63" s="103" t="s">
        <v>30</v>
      </c>
      <c r="P63" s="149"/>
      <c r="Q63" s="149"/>
      <c r="R63" s="149"/>
      <c r="S63" s="149"/>
      <c r="T63" s="149"/>
      <c r="U63" s="149"/>
      <c r="V63" s="149"/>
      <c r="W63" s="149"/>
      <c r="X63" s="149"/>
      <c r="Y63" s="149"/>
      <c r="Z63" s="149"/>
      <c r="AA63" s="149"/>
    </row>
    <row r="64" spans="1:27" x14ac:dyDescent="0.15">
      <c r="A64" s="140"/>
      <c r="B64" s="214"/>
      <c r="C64" s="214"/>
      <c r="D64" s="215"/>
      <c r="E64" s="215"/>
      <c r="F64" s="215"/>
      <c r="G64" s="149"/>
      <c r="H64" s="149"/>
      <c r="I64" s="149"/>
      <c r="J64" s="149"/>
      <c r="K64" s="149"/>
      <c r="L64" s="149"/>
      <c r="M64" s="210"/>
      <c r="N64" s="211"/>
      <c r="O64" s="103"/>
      <c r="P64" s="149"/>
      <c r="Q64" s="149"/>
      <c r="R64" s="149"/>
      <c r="S64" s="149"/>
      <c r="T64" s="149"/>
      <c r="U64" s="149"/>
      <c r="V64" s="149"/>
      <c r="W64" s="149"/>
      <c r="X64" s="149"/>
      <c r="Y64" s="149"/>
      <c r="Z64" s="149"/>
      <c r="AA64" s="149"/>
    </row>
    <row r="65" spans="1:27" ht="24.75" customHeight="1" x14ac:dyDescent="0.15">
      <c r="A65" s="140"/>
      <c r="B65" s="212"/>
      <c r="C65" s="212"/>
      <c r="D65" s="216"/>
      <c r="E65" s="216"/>
      <c r="F65" s="216"/>
      <c r="G65" s="149"/>
      <c r="H65" s="149"/>
      <c r="I65" s="149"/>
      <c r="J65" s="149"/>
      <c r="K65" s="149"/>
      <c r="L65" s="149"/>
      <c r="M65" s="210"/>
      <c r="N65" s="211"/>
      <c r="O65" s="103"/>
      <c r="P65" s="149"/>
      <c r="Q65" s="149"/>
      <c r="R65" s="149"/>
      <c r="S65" s="149"/>
      <c r="T65" s="149"/>
      <c r="U65" s="149"/>
      <c r="V65" s="149"/>
      <c r="W65" s="149"/>
      <c r="X65" s="149"/>
      <c r="Y65" s="149"/>
      <c r="Z65" s="149"/>
      <c r="AA65" s="149"/>
    </row>
    <row r="66" spans="1:27" ht="25.5" customHeight="1" x14ac:dyDescent="0.15">
      <c r="A66" s="140"/>
      <c r="B66" s="212"/>
      <c r="C66" s="212"/>
      <c r="D66" s="215"/>
      <c r="E66" s="215"/>
      <c r="F66" s="215"/>
      <c r="G66" s="149"/>
      <c r="H66" s="149"/>
      <c r="I66" s="149"/>
      <c r="J66" s="149"/>
      <c r="K66" s="149"/>
      <c r="L66" s="149"/>
      <c r="M66" s="149"/>
      <c r="N66" s="149"/>
      <c r="O66" s="149"/>
      <c r="P66" s="149"/>
      <c r="Q66" s="149"/>
      <c r="R66" s="149"/>
      <c r="S66" s="149"/>
      <c r="T66" s="149"/>
      <c r="U66" s="149"/>
      <c r="V66" s="149"/>
      <c r="W66" s="149"/>
      <c r="X66" s="149"/>
      <c r="Y66" s="149"/>
      <c r="Z66" s="149"/>
      <c r="AA66" s="149"/>
    </row>
    <row r="67" spans="1:27" ht="27.75" customHeight="1" x14ac:dyDescent="0.15">
      <c r="A67" s="140"/>
      <c r="B67" s="205"/>
      <c r="C67" s="205"/>
      <c r="D67" s="213"/>
      <c r="E67" s="213"/>
      <c r="F67" s="213"/>
      <c r="G67" s="149"/>
      <c r="H67" s="149"/>
      <c r="I67" s="149"/>
      <c r="J67" s="149"/>
      <c r="K67" s="149"/>
      <c r="L67" s="149"/>
      <c r="M67" s="149"/>
      <c r="N67" s="149"/>
      <c r="O67" s="149"/>
      <c r="P67" s="149"/>
      <c r="Q67" s="149"/>
      <c r="R67" s="149"/>
      <c r="S67" s="149"/>
      <c r="T67" s="149"/>
      <c r="U67" s="149"/>
      <c r="V67" s="149"/>
      <c r="W67" s="149"/>
      <c r="X67" s="149"/>
      <c r="Y67" s="149"/>
      <c r="Z67" s="149"/>
      <c r="AA67" s="149"/>
    </row>
    <row r="68" spans="1:27" ht="24.75" customHeight="1" x14ac:dyDescent="0.15">
      <c r="A68" s="140"/>
      <c r="B68" s="212"/>
      <c r="C68" s="212"/>
      <c r="D68" s="213"/>
      <c r="E68" s="213"/>
      <c r="F68" s="213"/>
      <c r="G68" s="149"/>
      <c r="H68" s="149"/>
      <c r="I68" s="149"/>
      <c r="J68" s="149"/>
      <c r="K68" s="149"/>
      <c r="L68" s="149"/>
      <c r="M68" s="149"/>
      <c r="N68" s="149"/>
      <c r="O68" s="149"/>
      <c r="P68" s="149"/>
      <c r="Q68" s="149"/>
      <c r="R68" s="149"/>
      <c r="S68" s="149"/>
      <c r="T68" s="149"/>
      <c r="U68" s="149"/>
      <c r="V68" s="149"/>
      <c r="W68" s="149"/>
      <c r="X68" s="149"/>
      <c r="Y68" s="149"/>
      <c r="Z68" s="149"/>
      <c r="AA68" s="149"/>
    </row>
    <row r="69" spans="1:27" ht="12.75" customHeight="1" x14ac:dyDescent="0.15">
      <c r="A69" s="140"/>
      <c r="B69" s="205"/>
      <c r="C69" s="205"/>
      <c r="D69" s="215"/>
      <c r="E69" s="215"/>
      <c r="F69" s="215"/>
      <c r="G69" s="149"/>
      <c r="H69" s="149"/>
      <c r="I69" s="149"/>
      <c r="J69" s="140"/>
      <c r="K69" s="140"/>
      <c r="L69" s="140"/>
      <c r="M69" s="149"/>
      <c r="N69" s="149"/>
      <c r="O69" s="149"/>
      <c r="P69" s="149"/>
      <c r="Q69" s="149"/>
      <c r="R69" s="149"/>
      <c r="S69" s="149"/>
      <c r="T69" s="149"/>
      <c r="U69" s="149"/>
      <c r="V69" s="149"/>
      <c r="W69" s="149"/>
      <c r="X69" s="149"/>
      <c r="Y69" s="149"/>
      <c r="Z69" s="149"/>
      <c r="AA69" s="149"/>
    </row>
    <row r="70" spans="1:27" x14ac:dyDescent="0.15">
      <c r="A70" s="140"/>
      <c r="B70" s="214"/>
      <c r="C70" s="214"/>
      <c r="D70" s="219"/>
      <c r="E70" s="219"/>
      <c r="F70" s="219"/>
      <c r="G70" s="149"/>
      <c r="H70" s="149"/>
      <c r="I70" s="140"/>
      <c r="J70" s="217"/>
      <c r="K70" s="218"/>
      <c r="L70" s="43"/>
      <c r="M70" s="140"/>
      <c r="N70" s="149"/>
      <c r="O70" s="149"/>
      <c r="P70" s="149"/>
      <c r="Q70" s="149"/>
      <c r="R70" s="149"/>
      <c r="S70" s="149"/>
      <c r="T70" s="149"/>
      <c r="U70" s="149"/>
      <c r="V70" s="149"/>
      <c r="W70" s="149"/>
      <c r="X70" s="149"/>
      <c r="Y70" s="149"/>
      <c r="Z70" s="149"/>
      <c r="AA70" s="149"/>
    </row>
    <row r="71" spans="1:27" s="45" customFormat="1" ht="24" customHeight="1" x14ac:dyDescent="0.15">
      <c r="A71" s="140"/>
      <c r="B71" s="65"/>
      <c r="C71" s="65"/>
      <c r="D71" s="189"/>
      <c r="E71" s="189"/>
      <c r="F71" s="189"/>
      <c r="G71" s="149"/>
      <c r="H71" s="149"/>
      <c r="I71" s="140"/>
      <c r="J71" s="152"/>
      <c r="K71" s="153"/>
      <c r="L71" s="44"/>
      <c r="M71" s="140"/>
      <c r="N71" s="149"/>
      <c r="O71" s="149"/>
      <c r="P71" s="149"/>
      <c r="Q71" s="149"/>
      <c r="R71" s="149"/>
      <c r="S71" s="149"/>
      <c r="T71" s="149"/>
      <c r="U71" s="149"/>
      <c r="V71" s="149"/>
      <c r="W71" s="149"/>
      <c r="X71" s="149"/>
      <c r="Y71" s="149"/>
      <c r="Z71" s="149"/>
      <c r="AA71" s="149"/>
    </row>
    <row r="72" spans="1:27" s="45" customFormat="1" x14ac:dyDescent="0.15">
      <c r="A72" s="140"/>
      <c r="B72" s="73"/>
      <c r="C72" s="73"/>
      <c r="D72" s="190"/>
      <c r="E72" s="190"/>
      <c r="F72" s="190"/>
      <c r="G72" s="149"/>
      <c r="H72" s="149"/>
      <c r="I72" s="149"/>
      <c r="J72" s="140"/>
      <c r="K72" s="140"/>
      <c r="L72" s="140"/>
      <c r="M72" s="149"/>
      <c r="N72" s="149"/>
      <c r="O72" s="149"/>
      <c r="P72" s="149"/>
      <c r="Q72" s="149"/>
      <c r="R72" s="149"/>
      <c r="S72" s="149"/>
      <c r="T72" s="149"/>
      <c r="U72" s="149"/>
      <c r="V72" s="149"/>
      <c r="W72" s="149"/>
      <c r="X72" s="149"/>
      <c r="Y72" s="149"/>
      <c r="Z72" s="149"/>
      <c r="AA72" s="149"/>
    </row>
    <row r="73" spans="1:27" s="45" customFormat="1" x14ac:dyDescent="0.15">
      <c r="A73" s="140"/>
      <c r="B73" s="150"/>
      <c r="C73" s="150"/>
      <c r="D73" s="150"/>
      <c r="E73" s="150"/>
      <c r="F73" s="150"/>
      <c r="G73" s="149"/>
      <c r="H73" s="149"/>
      <c r="I73" s="149"/>
      <c r="J73" s="149"/>
      <c r="K73" s="149"/>
      <c r="L73" s="149"/>
      <c r="M73" s="149"/>
      <c r="N73" s="149"/>
      <c r="O73" s="149"/>
      <c r="P73" s="149"/>
      <c r="Q73" s="149"/>
      <c r="R73" s="149"/>
      <c r="S73" s="149"/>
      <c r="T73" s="149"/>
      <c r="U73" s="149"/>
      <c r="V73" s="149"/>
      <c r="W73" s="149"/>
      <c r="X73" s="149"/>
      <c r="Y73" s="149"/>
      <c r="Z73" s="149"/>
      <c r="AA73" s="149"/>
    </row>
    <row r="74" spans="1:27" s="45" customFormat="1" x14ac:dyDescent="0.15">
      <c r="A74" s="140"/>
      <c r="B74" s="66"/>
      <c r="C74" s="66"/>
      <c r="D74" s="190"/>
      <c r="E74" s="190"/>
      <c r="F74" s="190"/>
      <c r="G74" s="149"/>
      <c r="H74" s="149"/>
      <c r="I74" s="149"/>
      <c r="J74" s="149"/>
      <c r="K74" s="149"/>
      <c r="L74" s="149"/>
      <c r="M74" s="149"/>
      <c r="N74" s="149"/>
      <c r="O74" s="149"/>
      <c r="P74" s="149"/>
      <c r="Q74" s="149"/>
      <c r="R74" s="149"/>
      <c r="S74" s="149"/>
      <c r="T74" s="149"/>
      <c r="U74" s="149"/>
      <c r="V74" s="149"/>
      <c r="W74" s="149"/>
      <c r="X74" s="149"/>
      <c r="Y74" s="149"/>
      <c r="Z74" s="149"/>
      <c r="AA74" s="149"/>
    </row>
    <row r="75" spans="1:27" s="45" customFormat="1" x14ac:dyDescent="0.15">
      <c r="A75" s="140"/>
      <c r="B75" s="150"/>
      <c r="C75" s="150"/>
      <c r="D75" s="150"/>
      <c r="E75" s="150"/>
      <c r="F75" s="150"/>
      <c r="G75" s="149"/>
      <c r="H75" s="149"/>
      <c r="I75" s="149"/>
      <c r="J75" s="149"/>
      <c r="K75" s="149"/>
      <c r="L75" s="149"/>
      <c r="M75" s="149"/>
      <c r="N75" s="149"/>
      <c r="O75" s="149"/>
      <c r="P75" s="149"/>
      <c r="Q75" s="149"/>
      <c r="R75" s="149"/>
      <c r="S75" s="149"/>
      <c r="T75" s="149"/>
      <c r="U75" s="149"/>
      <c r="V75" s="149"/>
      <c r="W75" s="149"/>
      <c r="X75" s="149"/>
      <c r="Y75" s="149"/>
      <c r="Z75" s="149"/>
      <c r="AA75" s="149"/>
    </row>
    <row r="76" spans="1:27" s="45" customFormat="1" x14ac:dyDescent="0.15">
      <c r="A76" s="140"/>
      <c r="B76" s="66"/>
      <c r="C76" s="66"/>
      <c r="D76" s="190"/>
      <c r="E76" s="190"/>
      <c r="F76" s="190"/>
      <c r="G76" s="149"/>
      <c r="H76" s="149"/>
      <c r="I76" s="149"/>
      <c r="J76" s="149"/>
      <c r="K76" s="149"/>
      <c r="L76" s="149"/>
      <c r="M76" s="149"/>
      <c r="N76" s="149"/>
      <c r="O76" s="149"/>
      <c r="P76" s="149"/>
      <c r="Q76" s="149"/>
      <c r="R76" s="149"/>
      <c r="S76" s="149"/>
      <c r="T76" s="149"/>
      <c r="U76" s="149"/>
      <c r="V76" s="149"/>
      <c r="W76" s="149"/>
      <c r="X76" s="149"/>
      <c r="Y76" s="149"/>
      <c r="Z76" s="149"/>
      <c r="AA76" s="149"/>
    </row>
    <row r="77" spans="1:27" x14ac:dyDescent="0.15">
      <c r="A77" s="149"/>
      <c r="B77" s="140"/>
      <c r="C77" s="140"/>
      <c r="D77" s="140"/>
      <c r="E77" s="140"/>
      <c r="F77" s="140"/>
      <c r="G77" s="149"/>
      <c r="H77" s="149"/>
      <c r="I77" s="149"/>
      <c r="J77" s="149"/>
      <c r="K77" s="149"/>
      <c r="L77" s="149"/>
      <c r="M77" s="149"/>
      <c r="N77" s="149"/>
      <c r="O77" s="149"/>
      <c r="P77" s="149"/>
      <c r="Q77" s="149"/>
      <c r="R77" s="149"/>
      <c r="S77" s="149"/>
      <c r="T77" s="149"/>
      <c r="U77" s="149"/>
      <c r="V77" s="149"/>
      <c r="W77" s="149"/>
      <c r="X77" s="149"/>
      <c r="Y77" s="149"/>
      <c r="Z77" s="149"/>
      <c r="AA77" s="149"/>
    </row>
    <row r="78" spans="1:27" x14ac:dyDescent="0.15">
      <c r="A78" s="140"/>
      <c r="B78" s="208"/>
      <c r="C78" s="206"/>
      <c r="D78" s="206"/>
      <c r="E78" s="140"/>
      <c r="F78" s="149"/>
      <c r="G78" s="149"/>
      <c r="H78" s="149"/>
      <c r="I78" s="149"/>
      <c r="J78" s="149"/>
      <c r="K78" s="149"/>
      <c r="L78" s="149"/>
      <c r="M78" s="149"/>
      <c r="N78" s="149"/>
      <c r="O78" s="149"/>
      <c r="P78" s="149"/>
      <c r="Q78" s="149"/>
      <c r="R78" s="149"/>
      <c r="S78" s="149"/>
      <c r="T78" s="149"/>
      <c r="U78" s="149"/>
      <c r="V78" s="149"/>
      <c r="W78" s="149"/>
      <c r="X78" s="149"/>
      <c r="Y78" s="149"/>
      <c r="Z78" s="149"/>
      <c r="AA78" s="149"/>
    </row>
    <row r="79" spans="1:27" x14ac:dyDescent="0.15">
      <c r="A79" s="140"/>
      <c r="B79" s="209"/>
      <c r="C79" s="206"/>
      <c r="D79" s="206"/>
      <c r="E79" s="140"/>
      <c r="F79" s="149"/>
      <c r="G79" s="149"/>
      <c r="H79" s="149"/>
      <c r="I79" s="149"/>
      <c r="J79" s="149"/>
      <c r="K79" s="149"/>
      <c r="L79" s="149"/>
      <c r="M79" s="149"/>
      <c r="N79" s="149"/>
      <c r="O79" s="149"/>
      <c r="P79" s="149"/>
      <c r="Q79" s="149"/>
      <c r="R79" s="149"/>
      <c r="S79" s="149"/>
      <c r="T79" s="149"/>
      <c r="U79" s="149"/>
      <c r="V79" s="149"/>
      <c r="W79" s="149"/>
      <c r="X79" s="149"/>
      <c r="Y79" s="149"/>
      <c r="Z79" s="149"/>
      <c r="AA79" s="149"/>
    </row>
    <row r="80" spans="1:27" x14ac:dyDescent="0.15">
      <c r="A80" s="140"/>
      <c r="B80" s="205"/>
      <c r="C80" s="206"/>
      <c r="D80" s="191"/>
      <c r="E80" s="140"/>
      <c r="F80" s="149"/>
      <c r="G80" s="149"/>
      <c r="H80" s="149"/>
      <c r="I80" s="149"/>
      <c r="J80" s="149"/>
      <c r="K80" s="149"/>
      <c r="L80" s="149"/>
      <c r="M80" s="149"/>
      <c r="N80" s="149"/>
      <c r="O80" s="149"/>
      <c r="P80" s="149"/>
      <c r="Q80" s="149"/>
      <c r="R80" s="149"/>
      <c r="S80" s="149"/>
      <c r="T80" s="149"/>
      <c r="U80" s="149"/>
      <c r="V80" s="149"/>
      <c r="W80" s="149"/>
      <c r="X80" s="149"/>
      <c r="Y80" s="149"/>
      <c r="Z80" s="149"/>
      <c r="AA80" s="149"/>
    </row>
    <row r="81" spans="1:27" x14ac:dyDescent="0.15">
      <c r="A81" s="140"/>
      <c r="B81" s="205"/>
      <c r="C81" s="206"/>
      <c r="D81" s="191"/>
      <c r="E81" s="140"/>
      <c r="F81" s="149"/>
      <c r="G81" s="149"/>
      <c r="H81" s="149"/>
      <c r="I81" s="149"/>
      <c r="J81" s="149"/>
      <c r="K81" s="149"/>
      <c r="L81" s="149"/>
      <c r="M81" s="149"/>
      <c r="N81" s="149"/>
      <c r="O81" s="149"/>
      <c r="P81" s="149"/>
      <c r="Q81" s="149"/>
      <c r="R81" s="149"/>
      <c r="S81" s="149"/>
      <c r="T81" s="149"/>
      <c r="U81" s="149"/>
      <c r="V81" s="149"/>
      <c r="W81" s="149"/>
      <c r="X81" s="149"/>
      <c r="Y81" s="149"/>
      <c r="Z81" s="149"/>
      <c r="AA81" s="149"/>
    </row>
    <row r="82" spans="1:27" x14ac:dyDescent="0.15">
      <c r="A82" s="140"/>
      <c r="B82" s="205"/>
      <c r="C82" s="206"/>
      <c r="D82" s="191"/>
      <c r="E82" s="140"/>
      <c r="F82" s="149"/>
      <c r="G82" s="149"/>
      <c r="H82" s="149"/>
      <c r="I82" s="149"/>
      <c r="J82" s="149"/>
      <c r="K82" s="149"/>
      <c r="L82" s="149"/>
      <c r="M82" s="149"/>
      <c r="N82" s="149"/>
      <c r="O82" s="149"/>
      <c r="P82" s="149"/>
      <c r="Q82" s="149"/>
      <c r="R82" s="149"/>
      <c r="S82" s="149"/>
      <c r="T82" s="149"/>
      <c r="U82" s="149"/>
      <c r="V82" s="149"/>
      <c r="W82" s="149"/>
      <c r="X82" s="149"/>
      <c r="Y82" s="149"/>
      <c r="Z82" s="149"/>
      <c r="AA82" s="149"/>
    </row>
    <row r="83" spans="1:27" x14ac:dyDescent="0.15">
      <c r="A83" s="140"/>
      <c r="B83" s="205"/>
      <c r="C83" s="206"/>
      <c r="D83" s="192"/>
      <c r="E83" s="140"/>
      <c r="F83" s="149"/>
      <c r="G83" s="149"/>
      <c r="H83" s="149"/>
      <c r="I83" s="149"/>
      <c r="J83" s="149"/>
      <c r="K83" s="149"/>
      <c r="L83" s="149"/>
      <c r="M83" s="149"/>
      <c r="N83" s="149"/>
      <c r="O83" s="149"/>
      <c r="P83" s="149"/>
      <c r="Q83" s="149"/>
      <c r="R83" s="149"/>
      <c r="S83" s="149"/>
      <c r="T83" s="149"/>
      <c r="U83" s="149"/>
      <c r="V83" s="149"/>
      <c r="W83" s="149"/>
      <c r="X83" s="149"/>
      <c r="Y83" s="149"/>
      <c r="Z83" s="149"/>
      <c r="AA83" s="149"/>
    </row>
    <row r="84" spans="1:27" x14ac:dyDescent="0.15">
      <c r="A84" s="140"/>
      <c r="B84" s="205"/>
      <c r="C84" s="206"/>
      <c r="D84" s="193"/>
      <c r="E84" s="140"/>
      <c r="F84" s="149"/>
      <c r="G84" s="149"/>
      <c r="H84" s="149"/>
      <c r="I84" s="149"/>
      <c r="J84" s="149"/>
      <c r="K84" s="149"/>
      <c r="L84" s="149"/>
      <c r="M84" s="149"/>
      <c r="N84" s="149"/>
      <c r="O84" s="149"/>
      <c r="P84" s="149"/>
      <c r="Q84" s="149"/>
      <c r="R84" s="149"/>
      <c r="S84" s="149"/>
      <c r="T84" s="149"/>
      <c r="U84" s="149"/>
      <c r="V84" s="149"/>
      <c r="W84" s="149"/>
      <c r="X84" s="149"/>
      <c r="Y84" s="149"/>
      <c r="Z84" s="149"/>
      <c r="AA84" s="149"/>
    </row>
    <row r="85" spans="1:27" x14ac:dyDescent="0.15">
      <c r="A85" s="140"/>
      <c r="B85" s="205"/>
      <c r="C85" s="206"/>
      <c r="D85" s="194"/>
      <c r="E85" s="140"/>
      <c r="F85" s="149"/>
      <c r="G85" s="149"/>
      <c r="H85" s="149"/>
      <c r="I85" s="149"/>
      <c r="J85" s="149"/>
      <c r="K85" s="149"/>
      <c r="L85" s="149"/>
      <c r="M85" s="149"/>
      <c r="N85" s="149"/>
      <c r="O85" s="149"/>
      <c r="P85" s="149"/>
      <c r="Q85" s="149"/>
      <c r="R85" s="149"/>
      <c r="S85" s="149"/>
      <c r="T85" s="149"/>
      <c r="U85" s="149"/>
      <c r="V85" s="149"/>
      <c r="W85" s="149"/>
      <c r="X85" s="149"/>
      <c r="Y85" s="149"/>
      <c r="Z85" s="149"/>
      <c r="AA85" s="149"/>
    </row>
    <row r="86" spans="1:27" x14ac:dyDescent="0.15">
      <c r="A86" s="140"/>
      <c r="B86" s="207"/>
      <c r="C86" s="206"/>
      <c r="D86" s="195"/>
      <c r="E86" s="140"/>
      <c r="F86" s="149"/>
      <c r="G86" s="149"/>
      <c r="H86" s="149"/>
      <c r="I86" s="149"/>
      <c r="J86" s="149"/>
      <c r="K86" s="149"/>
      <c r="L86" s="149"/>
      <c r="M86" s="149"/>
      <c r="N86" s="149"/>
      <c r="O86" s="149"/>
      <c r="P86" s="149"/>
      <c r="Q86" s="149"/>
      <c r="R86" s="149"/>
      <c r="S86" s="149"/>
      <c r="T86" s="149"/>
      <c r="U86" s="149"/>
      <c r="V86" s="149"/>
      <c r="W86" s="149"/>
      <c r="X86" s="149"/>
      <c r="Y86" s="149"/>
      <c r="Z86" s="149"/>
      <c r="AA86" s="149"/>
    </row>
    <row r="87" spans="1:27" x14ac:dyDescent="0.15">
      <c r="A87" s="149"/>
      <c r="B87" s="140"/>
      <c r="C87" s="140"/>
      <c r="D87" s="140"/>
      <c r="E87" s="149"/>
      <c r="F87" s="149"/>
      <c r="G87" s="149"/>
      <c r="H87" s="149"/>
      <c r="I87" s="149"/>
      <c r="J87" s="149"/>
      <c r="K87" s="149"/>
      <c r="L87" s="149"/>
      <c r="M87" s="149"/>
      <c r="N87" s="149"/>
      <c r="O87" s="149"/>
      <c r="P87" s="149"/>
      <c r="Q87" s="149"/>
      <c r="R87" s="149"/>
      <c r="S87" s="149"/>
      <c r="T87" s="149"/>
      <c r="U87" s="149"/>
      <c r="V87" s="149"/>
      <c r="W87" s="149"/>
      <c r="X87" s="149"/>
      <c r="Y87" s="149"/>
      <c r="Z87" s="149"/>
      <c r="AA87" s="149"/>
    </row>
    <row r="88" spans="1:27" x14ac:dyDescent="0.15">
      <c r="A88" s="149"/>
      <c r="B88" s="149"/>
      <c r="C88" s="149"/>
      <c r="D88" s="149"/>
      <c r="E88" s="149"/>
      <c r="F88" s="149"/>
      <c r="G88" s="149"/>
      <c r="H88" s="149"/>
      <c r="I88" s="149"/>
      <c r="J88" s="149"/>
      <c r="K88" s="149"/>
      <c r="L88" s="149"/>
      <c r="M88" s="149"/>
      <c r="N88" s="149"/>
      <c r="O88" s="149"/>
      <c r="P88" s="149"/>
      <c r="Q88" s="149"/>
      <c r="R88" s="149"/>
      <c r="S88" s="149"/>
      <c r="T88" s="149"/>
      <c r="U88" s="149"/>
      <c r="V88" s="149"/>
      <c r="W88" s="149"/>
      <c r="X88" s="149"/>
      <c r="Y88" s="149"/>
      <c r="Z88" s="149"/>
      <c r="AA88" s="149"/>
    </row>
    <row r="89" spans="1:27" x14ac:dyDescent="0.15">
      <c r="A89" s="149"/>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149"/>
    </row>
    <row r="90" spans="1:27" x14ac:dyDescent="0.15">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row>
    <row r="91" spans="1:27" x14ac:dyDescent="0.15">
      <c r="A91" s="149"/>
      <c r="B91" s="149"/>
      <c r="C91" s="149"/>
      <c r="D91" s="149"/>
      <c r="E91" s="149"/>
      <c r="F91" s="149"/>
      <c r="G91" s="149"/>
      <c r="H91" s="149"/>
      <c r="I91" s="149"/>
      <c r="J91" s="149"/>
      <c r="K91" s="149"/>
      <c r="L91" s="149"/>
      <c r="M91" s="149"/>
      <c r="N91" s="149"/>
      <c r="O91" s="149"/>
      <c r="P91" s="149"/>
      <c r="Q91" s="149"/>
      <c r="R91" s="149"/>
      <c r="S91" s="149"/>
      <c r="T91" s="149"/>
      <c r="U91" s="149"/>
      <c r="V91" s="149"/>
      <c r="W91" s="149"/>
      <c r="X91" s="149"/>
      <c r="Y91" s="149"/>
      <c r="Z91" s="149"/>
      <c r="AA91" s="149"/>
    </row>
    <row r="92" spans="1:27" x14ac:dyDescent="0.15">
      <c r="A92" s="149"/>
      <c r="B92" s="149"/>
      <c r="C92" s="149"/>
      <c r="D92" s="149"/>
      <c r="E92" s="149"/>
      <c r="F92" s="149"/>
      <c r="G92" s="149"/>
      <c r="H92" s="149"/>
      <c r="I92" s="149"/>
      <c r="J92" s="149"/>
      <c r="K92" s="149"/>
      <c r="L92" s="149"/>
      <c r="M92" s="149"/>
      <c r="N92" s="149"/>
      <c r="O92" s="149"/>
      <c r="P92" s="149"/>
      <c r="Q92" s="149"/>
      <c r="R92" s="149"/>
      <c r="S92" s="149"/>
      <c r="T92" s="149"/>
      <c r="U92" s="149"/>
      <c r="V92" s="149"/>
      <c r="W92" s="149"/>
      <c r="X92" s="149"/>
      <c r="Y92" s="149"/>
      <c r="Z92" s="149"/>
      <c r="AA92" s="149"/>
    </row>
    <row r="93" spans="1:27" x14ac:dyDescent="0.15">
      <c r="A93" s="149"/>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row>
    <row r="94" spans="1:27" x14ac:dyDescent="0.15">
      <c r="A94" s="149"/>
      <c r="B94" s="149"/>
      <c r="C94" s="14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row>
    <row r="95" spans="1:27" x14ac:dyDescent="0.15">
      <c r="A95" s="149"/>
      <c r="B95" s="149"/>
      <c r="C95" s="149"/>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row>
    <row r="96" spans="1:27" x14ac:dyDescent="0.15">
      <c r="A96" s="149"/>
      <c r="B96" s="149"/>
      <c r="C96" s="149"/>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row>
    <row r="97" spans="1:27" x14ac:dyDescent="0.15">
      <c r="A97" s="14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row>
  </sheetData>
  <mergeCells count="31">
    <mergeCell ref="B66:C66"/>
    <mergeCell ref="D66:F66"/>
    <mergeCell ref="B67:C67"/>
    <mergeCell ref="D67:F67"/>
    <mergeCell ref="J70:K70"/>
    <mergeCell ref="B68:C68"/>
    <mergeCell ref="D68:F68"/>
    <mergeCell ref="B69:C69"/>
    <mergeCell ref="D69:F69"/>
    <mergeCell ref="B70:C70"/>
    <mergeCell ref="D70:F70"/>
    <mergeCell ref="M63:N63"/>
    <mergeCell ref="M64:N64"/>
    <mergeCell ref="M65:N65"/>
    <mergeCell ref="B23:D23"/>
    <mergeCell ref="B63:C63"/>
    <mergeCell ref="D63:F63"/>
    <mergeCell ref="B64:C64"/>
    <mergeCell ref="D64:F64"/>
    <mergeCell ref="B62:F62"/>
    <mergeCell ref="B65:C65"/>
    <mergeCell ref="D65:F65"/>
    <mergeCell ref="B83:C83"/>
    <mergeCell ref="B84:C84"/>
    <mergeCell ref="B85:C85"/>
    <mergeCell ref="B86:C86"/>
    <mergeCell ref="B78:D78"/>
    <mergeCell ref="B79:D79"/>
    <mergeCell ref="B80:C80"/>
    <mergeCell ref="B81:C81"/>
    <mergeCell ref="B82:C82"/>
  </mergeCells>
  <conditionalFormatting sqref="C5 E5">
    <cfRule type="colorScale" priority="3">
      <colorScale>
        <cfvo type="min"/>
        <cfvo type="max"/>
        <color rgb="FF57BB8A"/>
        <color rgb="FFFFFFFF"/>
      </colorScale>
    </cfRule>
  </conditionalFormatting>
  <dataValidations count="1">
    <dataValidation type="list" allowBlank="1" sqref="C5:C7" xr:uid="{00000000-0002-0000-0100-000000000000}">
      <formula1>"Low,Medium,High"</formula1>
    </dataValidation>
  </dataValidation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208"/>
  <sheetViews>
    <sheetView showGridLines="0" tabSelected="1" zoomScale="109" zoomScaleNormal="85" workbookViewId="0">
      <selection activeCell="H25" sqref="H25"/>
    </sheetView>
  </sheetViews>
  <sheetFormatPr baseColWidth="10" defaultColWidth="14.5" defaultRowHeight="15.75" customHeight="1" x14ac:dyDescent="0.15"/>
  <cols>
    <col min="1" max="2" width="7.33203125" customWidth="1"/>
    <col min="3" max="3" width="56.6640625" customWidth="1"/>
    <col min="4" max="4" width="13.5" customWidth="1"/>
    <col min="5" max="5" width="37.5" customWidth="1"/>
    <col min="6" max="6" width="8.1640625" customWidth="1"/>
    <col min="7" max="7" width="21" customWidth="1"/>
    <col min="8" max="8" width="13.83203125" customWidth="1"/>
    <col min="13" max="13" width="24.33203125" customWidth="1"/>
    <col min="14" max="14" width="8.83203125" customWidth="1"/>
    <col min="15" max="15" width="24.6640625" customWidth="1"/>
  </cols>
  <sheetData>
    <row r="1" spans="1:27" s="277" customFormat="1" ht="13" x14ac:dyDescent="0.15">
      <c r="A1" s="1" t="s">
        <v>0</v>
      </c>
      <c r="B1" s="2"/>
      <c r="C1" s="2"/>
      <c r="D1" s="2"/>
      <c r="E1" s="2"/>
      <c r="F1" s="2"/>
      <c r="G1" s="2"/>
      <c r="H1" s="2"/>
      <c r="I1" s="2"/>
      <c r="J1" s="2"/>
      <c r="K1" s="2"/>
      <c r="L1" s="2"/>
      <c r="M1" s="2"/>
      <c r="N1" s="2"/>
      <c r="O1" s="2"/>
      <c r="P1" s="2"/>
      <c r="Q1" s="2"/>
      <c r="R1" s="2"/>
      <c r="S1" s="2"/>
      <c r="T1" s="2"/>
      <c r="U1" s="2"/>
      <c r="V1" s="2"/>
      <c r="W1" s="2"/>
      <c r="X1" s="2"/>
      <c r="Y1" s="2"/>
      <c r="Z1" s="2"/>
      <c r="AA1" s="2"/>
    </row>
    <row r="2" spans="1:27" s="277" customFormat="1" ht="13" x14ac:dyDescent="0.15">
      <c r="A2" s="3" t="s">
        <v>31</v>
      </c>
      <c r="B2" s="2"/>
      <c r="C2" s="2"/>
      <c r="D2" s="2"/>
      <c r="E2" s="2"/>
      <c r="F2" s="2"/>
      <c r="G2" s="2"/>
      <c r="H2" s="2"/>
      <c r="I2" s="2"/>
      <c r="J2" s="2"/>
      <c r="K2" s="2"/>
      <c r="L2" s="2"/>
      <c r="M2" s="2"/>
      <c r="N2" s="2"/>
      <c r="O2" s="2"/>
      <c r="P2" s="2"/>
      <c r="Q2" s="2"/>
      <c r="R2" s="2"/>
      <c r="S2" s="2"/>
      <c r="T2" s="2"/>
      <c r="U2" s="2"/>
      <c r="V2" s="2"/>
      <c r="W2" s="2"/>
      <c r="X2" s="2"/>
      <c r="Y2" s="2"/>
      <c r="Z2" s="2"/>
      <c r="AA2" s="2"/>
    </row>
    <row r="4" spans="1:27" ht="13" x14ac:dyDescent="0.15">
      <c r="A4" s="149"/>
      <c r="B4" s="346" t="s">
        <v>7</v>
      </c>
      <c r="C4" s="347"/>
      <c r="D4" s="346" t="s">
        <v>32</v>
      </c>
      <c r="E4" s="348"/>
      <c r="F4" s="347"/>
      <c r="G4" s="149"/>
      <c r="H4" s="4"/>
      <c r="I4" s="149"/>
      <c r="J4" s="149"/>
      <c r="K4" s="149"/>
      <c r="L4" s="149"/>
      <c r="M4" s="149"/>
      <c r="N4" s="149"/>
      <c r="O4" s="149"/>
      <c r="P4" s="149"/>
      <c r="Q4" s="149"/>
      <c r="R4" s="149"/>
      <c r="S4" s="149"/>
      <c r="T4" s="149"/>
      <c r="U4" s="149"/>
      <c r="V4" s="149"/>
      <c r="W4" s="149"/>
      <c r="X4" s="149"/>
      <c r="Y4" s="149"/>
      <c r="Z4" s="149"/>
      <c r="AA4" s="149"/>
    </row>
    <row r="5" spans="1:27" ht="13" x14ac:dyDescent="0.15">
      <c r="A5" s="149"/>
      <c r="B5" s="349" t="s">
        <v>11</v>
      </c>
      <c r="C5" s="349"/>
      <c r="D5" s="350" t="str">
        <f>'Dashboard '!C5</f>
        <v>Medium</v>
      </c>
      <c r="E5" s="350"/>
      <c r="F5" s="350"/>
      <c r="G5" s="149"/>
      <c r="H5" s="5"/>
      <c r="I5" s="149"/>
      <c r="J5" s="149"/>
      <c r="K5" s="149"/>
      <c r="L5" s="149"/>
      <c r="M5" s="149"/>
      <c r="N5" s="149"/>
      <c r="O5" s="149"/>
      <c r="P5" s="149"/>
      <c r="Q5" s="149"/>
      <c r="R5" s="149"/>
      <c r="S5" s="149"/>
      <c r="T5" s="149"/>
      <c r="U5" s="149"/>
      <c r="V5" s="149"/>
      <c r="W5" s="149"/>
      <c r="X5" s="149"/>
      <c r="Y5" s="149"/>
      <c r="Z5" s="149"/>
      <c r="AA5" s="149"/>
    </row>
    <row r="6" spans="1:27" ht="13" x14ac:dyDescent="0.15">
      <c r="A6" s="149"/>
      <c r="B6" s="349" t="s">
        <v>15</v>
      </c>
      <c r="C6" s="349"/>
      <c r="D6" s="350" t="str">
        <f>'Dashboard '!C6</f>
        <v>Medium</v>
      </c>
      <c r="E6" s="350"/>
      <c r="F6" s="350"/>
      <c r="G6" s="149"/>
      <c r="H6" s="5"/>
      <c r="I6" s="149"/>
      <c r="J6" s="149"/>
      <c r="K6" s="149"/>
      <c r="L6" s="149"/>
      <c r="M6" s="149"/>
      <c r="N6" s="149"/>
      <c r="O6" s="149"/>
      <c r="P6" s="149"/>
      <c r="Q6" s="149"/>
      <c r="R6" s="149"/>
      <c r="S6" s="149"/>
      <c r="T6" s="149"/>
      <c r="U6" s="149"/>
      <c r="V6" s="149"/>
      <c r="W6" s="149"/>
      <c r="X6" s="149"/>
      <c r="Y6" s="149"/>
      <c r="Z6" s="149"/>
      <c r="AA6" s="149"/>
    </row>
    <row r="7" spans="1:27" ht="13" x14ac:dyDescent="0.15">
      <c r="A7" s="149"/>
      <c r="B7" s="349" t="s">
        <v>18</v>
      </c>
      <c r="C7" s="349"/>
      <c r="D7" s="350" t="str">
        <f>'Dashboard '!C7</f>
        <v>Medium</v>
      </c>
      <c r="E7" s="350"/>
      <c r="F7" s="350"/>
      <c r="G7" s="149"/>
      <c r="H7" s="149"/>
      <c r="I7" s="149"/>
      <c r="J7" s="149"/>
      <c r="K7" s="149"/>
      <c r="L7" s="149"/>
      <c r="M7" s="149"/>
      <c r="N7" s="149"/>
      <c r="O7" s="149"/>
      <c r="P7" s="149"/>
      <c r="Q7" s="149"/>
      <c r="R7" s="149"/>
      <c r="S7" s="149"/>
      <c r="T7" s="149"/>
      <c r="U7" s="149"/>
      <c r="V7" s="149"/>
      <c r="W7" s="149"/>
      <c r="X7" s="149"/>
      <c r="Y7" s="149"/>
      <c r="Z7" s="149"/>
      <c r="AA7" s="149"/>
    </row>
    <row r="8" spans="1:27" ht="13" x14ac:dyDescent="0.15">
      <c r="A8" s="149"/>
      <c r="B8" s="149"/>
      <c r="C8" s="149"/>
      <c r="D8" s="149"/>
      <c r="E8" s="149"/>
      <c r="F8" s="149"/>
      <c r="G8" s="149"/>
      <c r="H8" s="5"/>
      <c r="I8" s="149"/>
      <c r="J8" s="149"/>
      <c r="K8" s="149"/>
      <c r="L8" s="149"/>
      <c r="M8" s="149"/>
      <c r="N8" s="149"/>
      <c r="O8" s="149"/>
      <c r="P8" s="149"/>
      <c r="Q8" s="149"/>
      <c r="R8" s="149"/>
      <c r="S8" s="149"/>
      <c r="T8" s="149"/>
      <c r="U8" s="149"/>
      <c r="V8" s="149"/>
      <c r="W8" s="149"/>
      <c r="X8" s="149"/>
      <c r="Y8" s="149"/>
      <c r="Z8" s="149"/>
      <c r="AA8" s="149"/>
    </row>
    <row r="9" spans="1:27" ht="13" x14ac:dyDescent="0.15">
      <c r="A9" s="149"/>
      <c r="B9" s="346" t="s">
        <v>24</v>
      </c>
      <c r="C9" s="233"/>
      <c r="D9" s="346" t="s">
        <v>25</v>
      </c>
      <c r="E9" s="232"/>
      <c r="F9" s="233"/>
      <c r="G9" s="149"/>
      <c r="H9" s="5"/>
      <c r="I9" s="149"/>
      <c r="J9" s="149"/>
      <c r="K9" s="149"/>
      <c r="L9" s="149"/>
      <c r="M9" s="149"/>
      <c r="N9" s="149"/>
      <c r="O9" s="149"/>
      <c r="P9" s="149"/>
      <c r="Q9" s="149"/>
      <c r="R9" s="149"/>
      <c r="S9" s="149"/>
      <c r="T9" s="149"/>
      <c r="U9" s="149"/>
      <c r="V9" s="149"/>
      <c r="W9" s="149"/>
      <c r="X9" s="149"/>
      <c r="Y9" s="149"/>
      <c r="Z9" s="149"/>
      <c r="AA9" s="149"/>
    </row>
    <row r="10" spans="1:27" ht="13" x14ac:dyDescent="0.15">
      <c r="A10" s="149"/>
      <c r="B10" s="349" t="s">
        <v>26</v>
      </c>
      <c r="C10" s="351"/>
      <c r="D10" s="352">
        <f>'Dashboard '!C16</f>
        <v>2600</v>
      </c>
      <c r="E10" s="349"/>
      <c r="F10" s="349"/>
      <c r="G10" s="30"/>
      <c r="H10" s="46"/>
      <c r="I10" s="161"/>
      <c r="J10" s="149"/>
      <c r="K10" s="149"/>
      <c r="L10" s="149"/>
      <c r="M10" s="149"/>
      <c r="N10" s="149"/>
      <c r="O10" s="149"/>
      <c r="P10" s="149"/>
      <c r="Q10" s="149"/>
      <c r="R10" s="149"/>
      <c r="S10" s="149"/>
      <c r="T10" s="149"/>
      <c r="U10" s="149"/>
      <c r="V10" s="149"/>
      <c r="W10" s="149"/>
      <c r="X10" s="149"/>
      <c r="Y10" s="149"/>
      <c r="Z10" s="149"/>
      <c r="AA10" s="149"/>
    </row>
    <row r="11" spans="1:27" ht="13" x14ac:dyDescent="0.15">
      <c r="A11" s="149"/>
      <c r="B11" s="349" t="s">
        <v>27</v>
      </c>
      <c r="C11" s="351"/>
      <c r="D11" s="352">
        <f>'Dashboard '!C17</f>
        <v>35400</v>
      </c>
      <c r="E11" s="349"/>
      <c r="F11" s="349"/>
      <c r="G11" s="149"/>
      <c r="H11" s="5"/>
      <c r="I11" s="30"/>
      <c r="J11" s="149"/>
      <c r="K11" s="149"/>
      <c r="L11" s="149"/>
      <c r="M11" s="149"/>
      <c r="N11" s="149"/>
      <c r="O11" s="149"/>
      <c r="P11" s="149"/>
      <c r="Q11" s="149"/>
      <c r="R11" s="149"/>
      <c r="S11" s="149"/>
      <c r="T11" s="149"/>
      <c r="U11" s="149"/>
      <c r="V11" s="149"/>
      <c r="W11" s="149"/>
      <c r="X11" s="149"/>
      <c r="Y11" s="149"/>
      <c r="Z11" s="149"/>
      <c r="AA11" s="149"/>
    </row>
    <row r="12" spans="1:27" ht="13" x14ac:dyDescent="0.15">
      <c r="A12" s="149"/>
      <c r="B12" s="349" t="s">
        <v>28</v>
      </c>
      <c r="C12" s="351"/>
      <c r="D12" s="352">
        <f>'Dashboard '!C18</f>
        <v>38000</v>
      </c>
      <c r="E12" s="349"/>
      <c r="F12" s="349"/>
      <c r="G12" s="149"/>
      <c r="H12" s="5"/>
      <c r="I12" s="161"/>
      <c r="J12" s="149"/>
      <c r="K12" s="149"/>
      <c r="L12" s="149"/>
      <c r="M12" s="149"/>
      <c r="N12" s="149"/>
      <c r="O12" s="149"/>
      <c r="P12" s="149"/>
      <c r="Q12" s="149"/>
      <c r="R12" s="149"/>
      <c r="S12" s="149"/>
      <c r="T12" s="149"/>
      <c r="U12" s="149"/>
      <c r="V12" s="149"/>
      <c r="W12" s="149"/>
      <c r="X12" s="149"/>
      <c r="Y12" s="149"/>
      <c r="Z12" s="149"/>
      <c r="AA12" s="149"/>
    </row>
    <row r="13" spans="1:27" ht="13" x14ac:dyDescent="0.15">
      <c r="A13" s="149"/>
      <c r="B13" s="149"/>
      <c r="C13" s="149"/>
      <c r="D13" s="149"/>
      <c r="E13" s="149"/>
      <c r="F13" s="149"/>
      <c r="G13" s="149"/>
      <c r="H13" s="149"/>
      <c r="I13" s="161"/>
      <c r="J13" s="6"/>
      <c r="K13" s="149"/>
      <c r="L13" s="149"/>
      <c r="M13" s="149"/>
      <c r="N13" s="149"/>
      <c r="O13" s="149"/>
      <c r="P13" s="149"/>
      <c r="Q13" s="149"/>
      <c r="R13" s="149"/>
      <c r="S13" s="149"/>
      <c r="T13" s="149"/>
      <c r="U13" s="149"/>
      <c r="V13" s="149"/>
      <c r="W13" s="149"/>
      <c r="X13" s="149"/>
      <c r="Y13" s="149"/>
      <c r="Z13" s="149"/>
      <c r="AA13" s="149"/>
    </row>
    <row r="14" spans="1:27" ht="13" x14ac:dyDescent="0.15">
      <c r="A14" s="149"/>
      <c r="B14" s="346" t="s">
        <v>33</v>
      </c>
      <c r="C14" s="233"/>
      <c r="D14" s="346" t="s">
        <v>34</v>
      </c>
      <c r="E14" s="232"/>
      <c r="F14" s="233"/>
      <c r="G14" s="149"/>
      <c r="H14" s="149"/>
      <c r="I14" s="161"/>
      <c r="J14" s="6"/>
      <c r="K14" s="149"/>
      <c r="L14" s="149"/>
      <c r="M14" s="149"/>
      <c r="N14" s="149"/>
      <c r="O14" s="149"/>
      <c r="P14" s="149"/>
      <c r="Q14" s="149"/>
      <c r="R14" s="149"/>
      <c r="S14" s="149"/>
      <c r="T14" s="149"/>
      <c r="U14" s="149"/>
      <c r="V14" s="149"/>
      <c r="W14" s="149"/>
      <c r="X14" s="149"/>
      <c r="Y14" s="149"/>
      <c r="Z14" s="149"/>
      <c r="AA14" s="149"/>
    </row>
    <row r="15" spans="1:27" ht="13" x14ac:dyDescent="0.15">
      <c r="A15" s="149"/>
      <c r="B15" s="349" t="s">
        <v>35</v>
      </c>
      <c r="C15" s="351"/>
      <c r="D15" s="349">
        <v>3</v>
      </c>
      <c r="E15" s="351"/>
      <c r="F15" s="351"/>
      <c r="G15" s="149"/>
      <c r="H15" s="149"/>
      <c r="I15" s="161"/>
      <c r="J15" s="6"/>
      <c r="K15" s="149"/>
      <c r="L15" s="149"/>
      <c r="M15" s="149"/>
      <c r="N15" s="149"/>
      <c r="O15" s="149"/>
      <c r="P15" s="149"/>
      <c r="Q15" s="149"/>
      <c r="R15" s="149"/>
      <c r="S15" s="149"/>
      <c r="T15" s="149"/>
      <c r="U15" s="149"/>
      <c r="V15" s="149"/>
      <c r="W15" s="149"/>
      <c r="X15" s="149"/>
      <c r="Y15" s="149"/>
      <c r="Z15" s="149"/>
      <c r="AA15" s="149"/>
    </row>
    <row r="16" spans="1:27" ht="13" x14ac:dyDescent="0.15">
      <c r="A16" s="149"/>
      <c r="B16" s="349" t="s">
        <v>36</v>
      </c>
      <c r="C16" s="351"/>
      <c r="D16" s="349">
        <v>6</v>
      </c>
      <c r="E16" s="351"/>
      <c r="F16" s="351"/>
      <c r="G16" s="149"/>
      <c r="H16" s="149"/>
      <c r="I16" s="6"/>
      <c r="J16" s="6"/>
      <c r="K16" s="149"/>
      <c r="L16" s="149"/>
      <c r="M16" s="149"/>
      <c r="N16" s="149"/>
      <c r="O16" s="149"/>
      <c r="P16" s="149"/>
      <c r="Q16" s="149"/>
      <c r="R16" s="149"/>
      <c r="S16" s="149"/>
      <c r="T16" s="149"/>
      <c r="U16" s="149"/>
      <c r="V16" s="149"/>
      <c r="W16" s="149"/>
      <c r="X16" s="149"/>
      <c r="Y16" s="149"/>
      <c r="Z16" s="149"/>
      <c r="AA16" s="149"/>
    </row>
    <row r="17" spans="2:15" ht="13" x14ac:dyDescent="0.15">
      <c r="B17" s="349" t="s">
        <v>37</v>
      </c>
      <c r="C17" s="351"/>
      <c r="D17" s="349">
        <v>3</v>
      </c>
      <c r="E17" s="351"/>
      <c r="F17" s="351"/>
      <c r="G17" s="149"/>
      <c r="H17" s="149"/>
      <c r="I17" s="6"/>
      <c r="J17" s="6"/>
      <c r="K17" s="149"/>
      <c r="L17" s="149"/>
      <c r="M17" s="149"/>
      <c r="N17" s="149"/>
      <c r="O17" s="149"/>
    </row>
    <row r="18" spans="2:15" ht="13" x14ac:dyDescent="0.15">
      <c r="B18" s="149"/>
      <c r="C18" s="149"/>
      <c r="D18" s="149"/>
      <c r="E18" s="149"/>
      <c r="F18" s="149"/>
      <c r="G18" s="30"/>
      <c r="H18" s="149"/>
      <c r="I18" s="149"/>
      <c r="J18" s="149"/>
      <c r="K18" s="149"/>
      <c r="L18" s="149"/>
      <c r="M18" s="149"/>
      <c r="N18" s="149"/>
      <c r="O18" s="149"/>
    </row>
    <row r="19" spans="2:15" ht="13" x14ac:dyDescent="0.15">
      <c r="B19" s="7" t="s">
        <v>11</v>
      </c>
      <c r="C19" s="8"/>
      <c r="D19" s="8"/>
      <c r="E19" s="8"/>
      <c r="F19" s="8"/>
      <c r="G19" s="30"/>
      <c r="H19" s="30"/>
      <c r="I19" s="149"/>
      <c r="J19" s="149"/>
      <c r="K19" s="149"/>
      <c r="L19" s="149"/>
      <c r="M19" s="149"/>
      <c r="N19" s="149"/>
      <c r="O19" s="149"/>
    </row>
    <row r="20" spans="2:15" ht="13" x14ac:dyDescent="0.15">
      <c r="B20" s="14"/>
      <c r="C20" s="14"/>
      <c r="D20" s="14"/>
      <c r="E20" s="14"/>
      <c r="F20" s="14"/>
      <c r="G20" s="30"/>
      <c r="H20" s="149"/>
      <c r="I20" s="63"/>
      <c r="J20" s="63"/>
      <c r="K20" s="63"/>
      <c r="L20" s="149"/>
      <c r="M20" s="149"/>
      <c r="N20" s="149"/>
      <c r="O20" s="149"/>
    </row>
    <row r="21" spans="2:15" ht="13" x14ac:dyDescent="0.15">
      <c r="B21" s="14"/>
      <c r="C21" s="236" t="s">
        <v>38</v>
      </c>
      <c r="D21" s="223"/>
      <c r="E21" s="237"/>
      <c r="F21" s="14"/>
      <c r="G21" s="30"/>
      <c r="H21" s="30"/>
      <c r="I21" s="174"/>
      <c r="J21" s="174"/>
      <c r="K21" s="174"/>
      <c r="L21" s="27"/>
      <c r="M21" s="149"/>
      <c r="N21" s="149"/>
      <c r="O21" s="149"/>
    </row>
    <row r="22" spans="2:15" ht="27.75" customHeight="1" x14ac:dyDescent="0.15">
      <c r="B22" s="14"/>
      <c r="C22" s="343" t="s">
        <v>39</v>
      </c>
      <c r="D22" s="344"/>
      <c r="E22" s="345"/>
      <c r="F22" s="14"/>
      <c r="G22" s="149"/>
      <c r="H22" s="27" t="s">
        <v>40</v>
      </c>
      <c r="I22" s="175"/>
      <c r="J22" s="175"/>
      <c r="K22" s="175"/>
      <c r="L22" s="27"/>
      <c r="M22" s="149"/>
      <c r="N22" s="149"/>
      <c r="O22" s="149"/>
    </row>
    <row r="23" spans="2:15" ht="15.75" customHeight="1" x14ac:dyDescent="0.15">
      <c r="B23" s="14"/>
      <c r="C23" s="220" t="s">
        <v>26</v>
      </c>
      <c r="D23" s="221"/>
      <c r="E23" s="53">
        <f>HLOOKUP($D$5,'Data - Breakdown of Economic Co'!$E$7:$G$13,2, FALSE)</f>
        <v>2600</v>
      </c>
      <c r="F23" s="14"/>
      <c r="G23" s="283"/>
      <c r="H23" s="27"/>
      <c r="I23" s="71"/>
      <c r="J23" s="71"/>
      <c r="K23" s="71"/>
      <c r="L23" s="27"/>
      <c r="M23" s="149"/>
      <c r="N23" s="149"/>
      <c r="O23" s="149"/>
    </row>
    <row r="24" spans="2:15" ht="25.5" customHeight="1" x14ac:dyDescent="0.15">
      <c r="B24" s="14"/>
      <c r="C24" s="227" t="s">
        <v>41</v>
      </c>
      <c r="D24" s="228"/>
      <c r="E24" s="53">
        <f>HLOOKUP($D$5,'Data - Breakdown of Economic Co'!$E$7:$G$13,3, FALSE)</f>
        <v>3</v>
      </c>
      <c r="F24" s="14"/>
      <c r="G24" s="149"/>
      <c r="H24" s="30"/>
      <c r="I24" s="73"/>
      <c r="J24" s="73"/>
      <c r="K24" s="73"/>
      <c r="L24" s="27"/>
      <c r="M24" s="149"/>
      <c r="N24" s="149"/>
      <c r="O24" s="149"/>
    </row>
    <row r="25" spans="2:15" ht="13" x14ac:dyDescent="0.15">
      <c r="B25" s="14"/>
      <c r="C25" s="227" t="s">
        <v>42</v>
      </c>
      <c r="D25" s="228"/>
      <c r="E25" s="53">
        <f>HLOOKUP($D$5,'Data - Breakdown of Economic Co'!$E$7:$G$13,4, FALSE)</f>
        <v>7800</v>
      </c>
      <c r="F25" s="14"/>
      <c r="G25" s="149"/>
      <c r="H25" s="30"/>
      <c r="I25" s="71"/>
      <c r="J25" s="71"/>
      <c r="K25" s="71"/>
      <c r="L25" s="27"/>
      <c r="M25" s="149"/>
      <c r="N25" s="149"/>
      <c r="O25" s="149"/>
    </row>
    <row r="26" spans="2:15" ht="13" x14ac:dyDescent="0.15">
      <c r="B26" s="14"/>
      <c r="C26" s="229" t="s">
        <v>43</v>
      </c>
      <c r="D26" s="221"/>
      <c r="E26" s="143">
        <f>HLOOKUP($D$5,'Data - Breakdown of Economic Co'!$E$7:$G$13,5, FALSE)</f>
        <v>4.8149999999999998E-2</v>
      </c>
      <c r="F26" s="14"/>
      <c r="G26" s="149"/>
      <c r="H26" s="30"/>
      <c r="I26" s="68"/>
      <c r="J26" s="68"/>
      <c r="K26" s="68"/>
      <c r="L26" s="27"/>
      <c r="M26" s="149"/>
      <c r="N26" s="149"/>
      <c r="O26" s="149"/>
    </row>
    <row r="27" spans="2:15" ht="13" x14ac:dyDescent="0.15">
      <c r="B27" s="14"/>
      <c r="C27" s="229" t="s">
        <v>44</v>
      </c>
      <c r="D27" s="221"/>
      <c r="E27" s="142">
        <f>HLOOKUP($D$5,'Data - Breakdown of Economic Co'!$E$7:$G$13,6, FALSE)</f>
        <v>565.70000000000005</v>
      </c>
      <c r="F27" s="14"/>
      <c r="G27" s="149"/>
      <c r="H27" s="30"/>
      <c r="I27" s="69"/>
      <c r="J27" s="69"/>
      <c r="K27" s="69"/>
      <c r="L27" s="10"/>
      <c r="M27" s="11"/>
      <c r="N27" s="11"/>
      <c r="O27" s="11"/>
    </row>
    <row r="28" spans="2:15" ht="13" x14ac:dyDescent="0.15">
      <c r="B28" s="14"/>
      <c r="C28" s="239" t="s">
        <v>45</v>
      </c>
      <c r="D28" s="230"/>
      <c r="E28" s="307">
        <f>HLOOKUP($D$5,'Data - Breakdown of Economic Co'!$E$7:$G$13,7, FALSE)</f>
        <v>92</v>
      </c>
      <c r="F28" s="14"/>
      <c r="G28" s="149"/>
      <c r="H28" s="30"/>
      <c r="I28" s="69"/>
      <c r="J28" s="69"/>
      <c r="K28" s="69"/>
      <c r="L28" s="10"/>
      <c r="M28" s="10"/>
      <c r="N28" s="10"/>
      <c r="O28" s="10"/>
    </row>
    <row r="29" spans="2:15" ht="14" thickBot="1" x14ac:dyDescent="0.2">
      <c r="B29" s="14"/>
      <c r="C29" s="308" t="s">
        <v>46</v>
      </c>
      <c r="D29" s="323"/>
      <c r="E29" s="322">
        <f>E25*E26*E27*E28/14</f>
        <v>1396165.3791428574</v>
      </c>
      <c r="F29" s="14"/>
      <c r="G29" s="149"/>
      <c r="H29" s="30"/>
      <c r="I29" s="176"/>
      <c r="J29" s="176"/>
      <c r="K29" s="176"/>
      <c r="L29" s="10"/>
      <c r="M29" s="41"/>
      <c r="N29" s="40"/>
      <c r="O29" s="10"/>
    </row>
    <row r="30" spans="2:15" ht="13" x14ac:dyDescent="0.15">
      <c r="B30" s="14"/>
      <c r="C30" s="14"/>
      <c r="D30" s="14"/>
      <c r="E30" s="14"/>
      <c r="F30" s="14"/>
      <c r="G30" s="149"/>
      <c r="H30" s="30"/>
      <c r="I30" s="174"/>
      <c r="J30" s="174"/>
      <c r="K30" s="174"/>
      <c r="L30" s="10"/>
      <c r="M30" s="41"/>
      <c r="N30" s="40"/>
      <c r="O30" s="10"/>
    </row>
    <row r="31" spans="2:15" ht="13" x14ac:dyDescent="0.15">
      <c r="B31" s="12"/>
      <c r="C31" s="240" t="s">
        <v>47</v>
      </c>
      <c r="D31" s="223"/>
      <c r="E31" s="237"/>
      <c r="F31" s="14"/>
      <c r="G31" s="149"/>
      <c r="H31" s="5"/>
      <c r="I31" s="174"/>
      <c r="J31" s="174"/>
      <c r="K31" s="174"/>
      <c r="L31" s="10"/>
      <c r="M31" s="41"/>
      <c r="N31" s="40"/>
      <c r="O31" s="10"/>
    </row>
    <row r="32" spans="2:15" ht="23.25" customHeight="1" x14ac:dyDescent="0.15">
      <c r="B32" s="13"/>
      <c r="C32" s="241" t="s">
        <v>48</v>
      </c>
      <c r="D32" s="223"/>
      <c r="E32" s="221"/>
      <c r="F32" s="14"/>
      <c r="G32" s="149"/>
      <c r="H32" s="5"/>
      <c r="I32" s="175"/>
      <c r="J32" s="175"/>
      <c r="K32" s="175"/>
      <c r="L32" s="10"/>
      <c r="M32" s="10"/>
      <c r="N32" s="10"/>
      <c r="O32" s="42"/>
    </row>
    <row r="33" spans="2:16" ht="13" x14ac:dyDescent="0.15">
      <c r="B33" s="13"/>
      <c r="C33" s="220" t="s">
        <v>27</v>
      </c>
      <c r="D33" s="221"/>
      <c r="E33" s="53">
        <f>HLOOKUP($D$5, 'Data - Breakdown of Economic Co'!$E$7:$G$20, 10, FALSE)</f>
        <v>35400</v>
      </c>
      <c r="F33" s="14"/>
      <c r="G33" s="149"/>
      <c r="H33" s="5"/>
      <c r="I33" s="71"/>
      <c r="J33" s="71"/>
      <c r="K33" s="71"/>
      <c r="L33" s="10"/>
      <c r="M33" s="10"/>
      <c r="N33" s="10"/>
      <c r="O33" s="10"/>
      <c r="P33" s="149"/>
    </row>
    <row r="34" spans="2:16" ht="13" x14ac:dyDescent="0.15">
      <c r="B34" s="13"/>
      <c r="C34" s="220" t="s">
        <v>26</v>
      </c>
      <c r="D34" s="221"/>
      <c r="E34" s="53">
        <f>HLOOKUP($D$5, 'Data - Breakdown of Economic Co'!$E$7:$G$20, 11, FALSE)</f>
        <v>2600</v>
      </c>
      <c r="F34" s="14"/>
      <c r="G34" s="149"/>
      <c r="H34" s="5"/>
      <c r="I34" s="71"/>
      <c r="J34" s="71"/>
      <c r="K34" s="71"/>
      <c r="L34" s="10"/>
      <c r="M34" s="10"/>
      <c r="N34" s="10"/>
      <c r="O34" s="149"/>
      <c r="P34" s="149"/>
    </row>
    <row r="35" spans="2:16" ht="13" x14ac:dyDescent="0.15">
      <c r="B35" s="13"/>
      <c r="C35" s="220" t="s">
        <v>49</v>
      </c>
      <c r="D35" s="221"/>
      <c r="E35" s="141">
        <f>HLOOKUP($D$5, 'Data - Breakdown of Economic Co'!$E$7:$G$20, 12, FALSE)</f>
        <v>2</v>
      </c>
      <c r="F35" s="14"/>
      <c r="G35" s="149"/>
      <c r="H35" s="27"/>
      <c r="I35" s="68"/>
      <c r="J35" s="68"/>
      <c r="K35" s="68"/>
      <c r="L35" s="10"/>
      <c r="M35" s="149"/>
      <c r="N35" s="149"/>
      <c r="O35" s="42"/>
      <c r="P35" s="149"/>
    </row>
    <row r="36" spans="2:16" ht="13" x14ac:dyDescent="0.15">
      <c r="B36" s="13"/>
      <c r="C36" s="220" t="s">
        <v>50</v>
      </c>
      <c r="D36" s="221"/>
      <c r="E36" s="141">
        <f>HLOOKUP($D$5, 'Data - Breakdown of Economic Co'!$E$7:$G$20, 13, FALSE)</f>
        <v>100</v>
      </c>
      <c r="F36" s="14"/>
      <c r="G36" s="149"/>
      <c r="H36" s="27"/>
      <c r="I36" s="68"/>
      <c r="J36" s="68"/>
      <c r="K36" s="68"/>
      <c r="L36" s="10"/>
      <c r="M36" s="149"/>
      <c r="N36" s="149"/>
      <c r="O36" s="149"/>
      <c r="P36" s="149"/>
    </row>
    <row r="37" spans="2:16" ht="13" x14ac:dyDescent="0.15">
      <c r="B37" s="13"/>
      <c r="C37" s="220" t="s">
        <v>51</v>
      </c>
      <c r="D37" s="221"/>
      <c r="E37" s="141">
        <f>HLOOKUP($D$5, 'Data - Breakdown of Economic Co'!$E$7:$G$20, 14, FALSE)</f>
        <v>39.42</v>
      </c>
      <c r="F37" s="14"/>
      <c r="G37" s="149"/>
      <c r="H37" s="27"/>
      <c r="I37" s="69"/>
      <c r="J37" s="69"/>
      <c r="K37" s="69"/>
      <c r="L37" s="10"/>
      <c r="M37" s="149"/>
      <c r="N37" s="149"/>
      <c r="O37" s="42"/>
      <c r="P37" s="149"/>
    </row>
    <row r="38" spans="2:16" ht="13" x14ac:dyDescent="0.15">
      <c r="B38" s="13"/>
      <c r="C38" s="220" t="s">
        <v>52</v>
      </c>
      <c r="D38" s="221"/>
      <c r="E38" s="55">
        <f>(E33*E35*E37)+(E34*E36*E37)</f>
        <v>13040136</v>
      </c>
      <c r="F38" s="14"/>
      <c r="G38" s="149"/>
      <c r="H38" s="27"/>
      <c r="I38" s="177"/>
      <c r="J38" s="177"/>
      <c r="K38" s="177"/>
      <c r="L38" s="10"/>
      <c r="M38" s="149"/>
      <c r="N38" s="149"/>
      <c r="O38" s="149"/>
      <c r="P38" s="149"/>
    </row>
    <row r="39" spans="2:16" ht="13" x14ac:dyDescent="0.15">
      <c r="B39" s="14"/>
      <c r="C39" s="222" t="s">
        <v>53</v>
      </c>
      <c r="D39" s="223"/>
      <c r="E39" s="221"/>
      <c r="F39" s="14"/>
      <c r="G39" s="149"/>
      <c r="H39" s="27"/>
      <c r="I39" s="174"/>
      <c r="J39" s="174"/>
      <c r="K39" s="174"/>
      <c r="L39" s="10"/>
      <c r="M39" s="149"/>
      <c r="N39" s="149"/>
      <c r="O39" s="149"/>
      <c r="P39" s="149"/>
    </row>
    <row r="40" spans="2:16" ht="13" x14ac:dyDescent="0.15">
      <c r="B40" s="13"/>
      <c r="C40" s="220" t="s">
        <v>54</v>
      </c>
      <c r="D40" s="221"/>
      <c r="E40" s="54">
        <f>HLOOKUP($D$5, 'Data - Breakdown of Economic Co'!$E$7:$G$25, 16, FALSE)</f>
        <v>26.2</v>
      </c>
      <c r="F40" s="14"/>
      <c r="G40" s="149"/>
      <c r="H40" s="27"/>
      <c r="I40" s="69"/>
      <c r="J40" s="69"/>
      <c r="K40" s="69"/>
      <c r="L40" s="10"/>
      <c r="M40" s="30"/>
      <c r="N40" s="149"/>
      <c r="O40" s="20"/>
      <c r="P40" s="149"/>
    </row>
    <row r="41" spans="2:16" ht="13" x14ac:dyDescent="0.15">
      <c r="B41" s="13"/>
      <c r="C41" s="220" t="s">
        <v>55</v>
      </c>
      <c r="D41" s="221"/>
      <c r="E41" s="144">
        <f>HLOOKUP($D$5, 'Data - Breakdown of Economic Co'!$E$7:$G$25, 17, FALSE)</f>
        <v>1</v>
      </c>
      <c r="F41" s="14"/>
      <c r="G41" s="149"/>
      <c r="H41" s="27"/>
      <c r="I41" s="68"/>
      <c r="J41" s="68"/>
      <c r="K41" s="68"/>
      <c r="L41" s="10"/>
      <c r="M41" s="30"/>
      <c r="N41" s="149"/>
      <c r="O41" s="20"/>
      <c r="P41" s="149"/>
    </row>
    <row r="42" spans="2:16" ht="13" x14ac:dyDescent="0.15">
      <c r="B42" s="13"/>
      <c r="C42" s="220" t="s">
        <v>56</v>
      </c>
      <c r="D42" s="221"/>
      <c r="E42" s="144">
        <f>HLOOKUP($D$5, 'Data - Breakdown of Economic Co'!$E$7:$G$25, 18, FALSE)</f>
        <v>33</v>
      </c>
      <c r="F42" s="14"/>
      <c r="G42" s="149"/>
      <c r="H42" s="27"/>
      <c r="I42" s="68"/>
      <c r="J42" s="68"/>
      <c r="K42" s="68"/>
      <c r="L42" s="10"/>
      <c r="M42" s="30"/>
      <c r="N42" s="149"/>
      <c r="O42" s="20"/>
      <c r="P42" s="149"/>
    </row>
    <row r="43" spans="2:16" ht="13" x14ac:dyDescent="0.15">
      <c r="B43" s="13"/>
      <c r="C43" s="220" t="s">
        <v>57</v>
      </c>
      <c r="D43" s="221"/>
      <c r="E43" s="144">
        <f>HLOOKUP($D$5, 'Data - Breakdown of Economic Co'!$E$7:$G$25, 19, FALSE)</f>
        <v>121200</v>
      </c>
      <c r="F43" s="14"/>
      <c r="G43" s="149"/>
      <c r="H43" s="27"/>
      <c r="I43" s="72"/>
      <c r="J43" s="72"/>
      <c r="K43" s="72"/>
      <c r="L43" s="10"/>
      <c r="M43" s="149"/>
      <c r="N43" s="149"/>
      <c r="O43" s="149"/>
      <c r="P43" s="149"/>
    </row>
    <row r="44" spans="2:16" ht="13" x14ac:dyDescent="0.15">
      <c r="B44" s="13"/>
      <c r="C44" s="224" t="s">
        <v>58</v>
      </c>
      <c r="D44" s="225"/>
      <c r="E44" s="135">
        <f>E43*E40</f>
        <v>3175440</v>
      </c>
      <c r="F44" s="14"/>
      <c r="G44" s="149"/>
      <c r="H44" s="27"/>
      <c r="I44" s="178"/>
      <c r="J44" s="178"/>
      <c r="K44" s="178"/>
      <c r="L44" s="27"/>
      <c r="M44" s="149"/>
      <c r="N44" s="149"/>
      <c r="O44" s="149"/>
      <c r="P44" s="149"/>
    </row>
    <row r="45" spans="2:16" ht="14" thickBot="1" x14ac:dyDescent="0.2">
      <c r="B45" s="50"/>
      <c r="C45" s="317" t="s">
        <v>47</v>
      </c>
      <c r="D45" s="323"/>
      <c r="E45" s="318">
        <f>E38+E44</f>
        <v>16215576</v>
      </c>
      <c r="F45" s="14"/>
      <c r="G45" s="149"/>
      <c r="H45" s="27"/>
      <c r="I45" s="178"/>
      <c r="J45" s="177"/>
      <c r="K45" s="178"/>
      <c r="L45" s="27"/>
      <c r="M45" s="30"/>
      <c r="N45" s="31"/>
      <c r="O45" s="149"/>
      <c r="P45" s="149"/>
    </row>
    <row r="46" spans="2:16" ht="13" x14ac:dyDescent="0.15">
      <c r="B46" s="14"/>
      <c r="C46" s="14"/>
      <c r="D46" s="15"/>
      <c r="E46" s="15"/>
      <c r="F46" s="14"/>
      <c r="G46" s="149"/>
      <c r="H46" s="27"/>
      <c r="I46" s="174"/>
      <c r="J46" s="174"/>
      <c r="K46" s="73"/>
      <c r="L46" s="27"/>
      <c r="M46" s="30"/>
      <c r="N46" s="20"/>
      <c r="O46" s="149"/>
      <c r="P46" s="149"/>
    </row>
    <row r="47" spans="2:16" ht="13" x14ac:dyDescent="0.15">
      <c r="B47" s="14"/>
      <c r="C47" s="16" t="s">
        <v>59</v>
      </c>
      <c r="D47" s="17"/>
      <c r="E47" s="18"/>
      <c r="F47" s="14"/>
      <c r="G47" s="149"/>
      <c r="H47" s="27"/>
      <c r="I47" s="174"/>
      <c r="J47" s="174"/>
      <c r="K47" s="174"/>
      <c r="L47" s="27"/>
      <c r="M47" s="30"/>
      <c r="N47" s="20"/>
      <c r="O47" s="149"/>
      <c r="P47" s="149"/>
    </row>
    <row r="48" spans="2:16" ht="29.25" customHeight="1" x14ac:dyDescent="0.15">
      <c r="B48" s="14"/>
      <c r="C48" s="226" t="s">
        <v>60</v>
      </c>
      <c r="D48" s="223"/>
      <c r="E48" s="221"/>
      <c r="F48" s="14"/>
      <c r="G48" s="149"/>
      <c r="H48" s="30"/>
      <c r="I48" s="175"/>
      <c r="J48" s="175"/>
      <c r="K48" s="175"/>
      <c r="L48" s="27"/>
      <c r="M48" s="30"/>
      <c r="N48" s="20"/>
      <c r="O48" s="149"/>
      <c r="P48" s="149"/>
    </row>
    <row r="49" spans="2:14" ht="13" x14ac:dyDescent="0.15">
      <c r="B49" s="14"/>
      <c r="C49" s="220" t="s">
        <v>26</v>
      </c>
      <c r="D49" s="221"/>
      <c r="E49" s="53">
        <f>HLOOKUP($D$5, 'Data - Breakdown of Economic Co'!$E$7:$G$33, 22, FALSE)</f>
        <v>2600</v>
      </c>
      <c r="F49" s="14"/>
      <c r="G49" s="30"/>
      <c r="H49" s="30"/>
      <c r="I49" s="71"/>
      <c r="J49" s="71"/>
      <c r="K49" s="71"/>
      <c r="L49" s="27"/>
      <c r="M49" s="30"/>
      <c r="N49" s="20"/>
    </row>
    <row r="50" spans="2:14" ht="13" x14ac:dyDescent="0.15">
      <c r="B50" s="14"/>
      <c r="C50" s="227" t="s">
        <v>61</v>
      </c>
      <c r="D50" s="228"/>
      <c r="E50" s="53">
        <f>HLOOKUP($D$5, 'Data - Breakdown of Economic Co'!$E$7:$G$33, 23, FALSE)</f>
        <v>3</v>
      </c>
      <c r="F50" s="14"/>
      <c r="G50" s="149"/>
      <c r="H50" s="30"/>
      <c r="I50" s="73"/>
      <c r="J50" s="73"/>
      <c r="K50" s="73"/>
      <c r="L50" s="27"/>
      <c r="M50" s="149"/>
      <c r="N50" s="149"/>
    </row>
    <row r="51" spans="2:14" ht="13" x14ac:dyDescent="0.15">
      <c r="B51" s="14"/>
      <c r="C51" s="227" t="s">
        <v>62</v>
      </c>
      <c r="D51" s="228"/>
      <c r="E51" s="53">
        <f>HLOOKUP($D$5, 'Data - Breakdown of Economic Co'!$E$7:$G$33, 24, FALSE)</f>
        <v>7800</v>
      </c>
      <c r="F51" s="14"/>
      <c r="G51" s="149"/>
      <c r="H51" s="30"/>
      <c r="I51" s="71"/>
      <c r="J51" s="71"/>
      <c r="K51" s="71"/>
      <c r="L51" s="27"/>
      <c r="M51" s="149"/>
      <c r="N51" s="149"/>
    </row>
    <row r="52" spans="2:14" ht="13" x14ac:dyDescent="0.15">
      <c r="B52" s="13"/>
      <c r="C52" s="220" t="s">
        <v>63</v>
      </c>
      <c r="D52" s="221"/>
      <c r="E52" s="143">
        <f>HLOOKUP($D$5, 'Data - Breakdown of Economic Co'!$E$7:$G$33, 25, FALSE)</f>
        <v>0.5</v>
      </c>
      <c r="F52" s="14"/>
      <c r="G52" s="149"/>
      <c r="H52" s="30"/>
      <c r="I52" s="68"/>
      <c r="J52" s="68"/>
      <c r="K52" s="68"/>
      <c r="L52" s="27"/>
      <c r="M52" s="149"/>
      <c r="N52" s="149"/>
    </row>
    <row r="53" spans="2:14" ht="13" x14ac:dyDescent="0.15">
      <c r="B53" s="13"/>
      <c r="C53" s="220" t="s">
        <v>64</v>
      </c>
      <c r="D53" s="221"/>
      <c r="E53" s="141">
        <f>HLOOKUP($D$5, 'Data - Breakdown of Economic Co'!$E$7:$G$33, 26, FALSE)</f>
        <v>4</v>
      </c>
      <c r="F53" s="14"/>
      <c r="G53" s="149"/>
      <c r="H53" s="30"/>
      <c r="I53" s="68"/>
      <c r="J53" s="68"/>
      <c r="K53" s="68"/>
      <c r="L53" s="27"/>
      <c r="M53" s="149"/>
      <c r="N53" s="149"/>
    </row>
    <row r="54" spans="2:14" ht="13" x14ac:dyDescent="0.15">
      <c r="B54" s="13"/>
      <c r="C54" s="220" t="s">
        <v>65</v>
      </c>
      <c r="D54" s="221"/>
      <c r="E54" s="142">
        <f>HLOOKUP($D$5, 'Data - Breakdown of Economic Co'!$E$7:$G$33, 27, FALSE)</f>
        <v>120</v>
      </c>
      <c r="F54" s="14"/>
      <c r="G54" s="149"/>
      <c r="H54" s="27"/>
      <c r="I54" s="74"/>
      <c r="J54" s="74"/>
      <c r="K54" s="74"/>
      <c r="L54" s="27"/>
      <c r="M54" s="149"/>
      <c r="N54" s="149"/>
    </row>
    <row r="55" spans="2:14" ht="13" x14ac:dyDescent="0.15">
      <c r="B55" s="14"/>
      <c r="C55" s="220" t="s">
        <v>66</v>
      </c>
      <c r="D55" s="221"/>
      <c r="E55" s="56">
        <f>E51*E52*E53*E54</f>
        <v>1872000</v>
      </c>
      <c r="F55" s="14"/>
      <c r="G55" s="149"/>
      <c r="H55" s="27"/>
      <c r="I55" s="177"/>
      <c r="J55" s="177"/>
      <c r="K55" s="177"/>
      <c r="L55" s="27"/>
      <c r="M55" s="149"/>
      <c r="N55" s="149"/>
    </row>
    <row r="56" spans="2:14" ht="13" x14ac:dyDescent="0.15">
      <c r="B56" s="14"/>
      <c r="C56" s="226" t="s">
        <v>67</v>
      </c>
      <c r="D56" s="223"/>
      <c r="E56" s="221"/>
      <c r="F56" s="14"/>
      <c r="G56" s="149"/>
      <c r="H56" s="27"/>
      <c r="I56" s="174"/>
      <c r="J56" s="174"/>
      <c r="K56" s="174"/>
      <c r="L56" s="27"/>
      <c r="M56" s="149"/>
      <c r="N56" s="149"/>
    </row>
    <row r="57" spans="2:14" ht="13" x14ac:dyDescent="0.15">
      <c r="B57" s="14"/>
      <c r="C57" s="229" t="s">
        <v>28</v>
      </c>
      <c r="D57" s="221"/>
      <c r="E57" s="9">
        <f>HLOOKUP($D$5, 'Data - Breakdown of Economic Co'!$E$7:$G$40, 29, FALSE)</f>
        <v>38000</v>
      </c>
      <c r="F57" s="14"/>
      <c r="G57" s="149"/>
      <c r="H57" s="27"/>
      <c r="I57" s="179"/>
      <c r="J57" s="179"/>
      <c r="K57" s="179"/>
      <c r="L57" s="27"/>
      <c r="M57" s="149"/>
      <c r="N57" s="149"/>
    </row>
    <row r="58" spans="2:14" ht="13" x14ac:dyDescent="0.15">
      <c r="B58" s="14"/>
      <c r="C58" s="227" t="s">
        <v>68</v>
      </c>
      <c r="D58" s="228"/>
      <c r="E58" s="9">
        <f>HLOOKUP($D$5, 'Data - Breakdown of Economic Co'!$E$7:$G$40, 30, FALSE)</f>
        <v>3</v>
      </c>
      <c r="F58" s="14"/>
      <c r="G58" s="149"/>
      <c r="H58" s="27"/>
      <c r="I58" s="47"/>
      <c r="J58" s="47"/>
      <c r="K58" s="47"/>
      <c r="L58" s="27"/>
      <c r="M58" s="149"/>
      <c r="N58" s="149"/>
    </row>
    <row r="59" spans="2:14" ht="13" x14ac:dyDescent="0.15">
      <c r="B59" s="14"/>
      <c r="C59" s="227" t="s">
        <v>69</v>
      </c>
      <c r="D59" s="228"/>
      <c r="E59" s="9">
        <f>HLOOKUP($D$5, 'Data - Breakdown of Economic Co'!$E$7:$G$40, 31, FALSE)</f>
        <v>114000</v>
      </c>
      <c r="F59" s="14"/>
      <c r="G59" s="149"/>
      <c r="H59" s="27"/>
      <c r="I59" s="47"/>
      <c r="J59" s="47"/>
      <c r="K59" s="47"/>
      <c r="L59" s="27"/>
      <c r="M59" s="149"/>
      <c r="N59" s="149"/>
    </row>
    <row r="60" spans="2:14" ht="13" x14ac:dyDescent="0.15">
      <c r="B60" s="13"/>
      <c r="C60" s="220" t="s">
        <v>70</v>
      </c>
      <c r="D60" s="221"/>
      <c r="E60" s="147">
        <f>HLOOKUP($D$5, 'Data - Breakdown of Economic Co'!$E$7:$G$40, 32, FALSE)</f>
        <v>0.23</v>
      </c>
      <c r="F60" s="14"/>
      <c r="G60" s="149"/>
      <c r="H60" s="27"/>
      <c r="I60" s="68"/>
      <c r="J60" s="68"/>
      <c r="K60" s="68"/>
      <c r="L60" s="27"/>
      <c r="M60" s="149"/>
      <c r="N60" s="149"/>
    </row>
    <row r="61" spans="2:14" ht="13" x14ac:dyDescent="0.15">
      <c r="B61" s="13"/>
      <c r="C61" s="220" t="s">
        <v>64</v>
      </c>
      <c r="D61" s="221"/>
      <c r="E61" s="9">
        <f>HLOOKUP($D$5, 'Data - Breakdown of Economic Co'!$E$7:$G$40, 33, FALSE)</f>
        <v>6</v>
      </c>
      <c r="F61" s="14"/>
      <c r="G61" s="149"/>
      <c r="H61" s="27"/>
      <c r="I61" s="69"/>
      <c r="J61" s="69"/>
      <c r="K61" s="69"/>
      <c r="L61" s="27"/>
      <c r="M61" s="149"/>
      <c r="N61" s="149"/>
    </row>
    <row r="62" spans="2:14" ht="13" x14ac:dyDescent="0.15">
      <c r="B62" s="13"/>
      <c r="C62" s="220" t="s">
        <v>65</v>
      </c>
      <c r="D62" s="221"/>
      <c r="E62" s="148">
        <f>HLOOKUP($D$5, 'Data - Breakdown of Economic Co'!$E$7:$G$40, 34, FALSE)</f>
        <v>72.72</v>
      </c>
      <c r="F62" s="14"/>
      <c r="G62" s="149"/>
      <c r="H62" s="27"/>
      <c r="I62" s="73"/>
      <c r="J62" s="73"/>
      <c r="K62" s="73"/>
      <c r="L62" s="27"/>
      <c r="M62" s="149"/>
      <c r="N62" s="149"/>
    </row>
    <row r="63" spans="2:14" ht="13" x14ac:dyDescent="0.15">
      <c r="B63" s="13"/>
      <c r="C63" s="217" t="s">
        <v>71</v>
      </c>
      <c r="D63" s="230"/>
      <c r="E63" s="134">
        <f>SUM(E59*E60*E61*E62)</f>
        <v>11440310.4</v>
      </c>
      <c r="F63" s="14"/>
      <c r="G63" s="149"/>
      <c r="H63" s="27"/>
      <c r="I63" s="180"/>
      <c r="J63" s="180"/>
      <c r="K63" s="180"/>
      <c r="L63" s="27"/>
      <c r="M63" s="149"/>
      <c r="N63" s="149"/>
    </row>
    <row r="64" spans="2:14" ht="14" thickBot="1" x14ac:dyDescent="0.2">
      <c r="B64" s="14"/>
      <c r="C64" s="317" t="s">
        <v>59</v>
      </c>
      <c r="D64" s="323"/>
      <c r="E64" s="319">
        <f>E55+E63</f>
        <v>13312310.4</v>
      </c>
      <c r="F64" s="14"/>
      <c r="G64" s="149"/>
      <c r="H64" s="27"/>
      <c r="I64" s="176"/>
      <c r="J64" s="176"/>
      <c r="K64" s="176"/>
      <c r="L64" s="27"/>
      <c r="M64" s="149"/>
      <c r="N64" s="149"/>
    </row>
    <row r="65" spans="2:15" ht="14" thickBot="1" x14ac:dyDescent="0.2">
      <c r="B65" s="14"/>
      <c r="C65" s="19"/>
      <c r="D65" s="19"/>
      <c r="E65" s="19"/>
      <c r="F65" s="14"/>
      <c r="G65" s="149"/>
      <c r="H65" s="27"/>
      <c r="I65" s="174"/>
      <c r="J65" s="174"/>
      <c r="K65" s="174"/>
      <c r="L65" s="27"/>
      <c r="M65" s="149"/>
      <c r="N65" s="149"/>
      <c r="O65" s="149"/>
    </row>
    <row r="66" spans="2:15" ht="14" thickBot="1" x14ac:dyDescent="0.2">
      <c r="B66" s="13"/>
      <c r="C66" s="314" t="s">
        <v>72</v>
      </c>
      <c r="D66" s="315"/>
      <c r="E66" s="316">
        <f>E29+E45+E64</f>
        <v>30924051.779142857</v>
      </c>
      <c r="F66" s="14"/>
      <c r="G66" s="149"/>
      <c r="H66" s="27"/>
      <c r="I66" s="176"/>
      <c r="J66" s="176"/>
      <c r="K66" s="176"/>
      <c r="L66" s="27"/>
      <c r="M66" s="149"/>
      <c r="N66" s="149"/>
      <c r="O66" s="149"/>
    </row>
    <row r="67" spans="2:15" ht="14" thickTop="1" x14ac:dyDescent="0.15">
      <c r="B67" s="14"/>
      <c r="C67" s="14"/>
      <c r="D67" s="14"/>
      <c r="E67" s="14"/>
      <c r="F67" s="14"/>
      <c r="G67" s="149"/>
      <c r="H67" s="27"/>
      <c r="I67" s="174"/>
      <c r="J67" s="174"/>
      <c r="K67" s="174"/>
      <c r="L67" s="27"/>
      <c r="M67" s="149"/>
      <c r="N67" s="149"/>
      <c r="O67" s="149"/>
    </row>
    <row r="68" spans="2:15" ht="15.75" customHeight="1" x14ac:dyDescent="0.15">
      <c r="B68" s="149"/>
      <c r="C68" s="149"/>
      <c r="D68" s="149"/>
      <c r="E68" s="149"/>
      <c r="F68" s="149"/>
      <c r="G68" s="149"/>
      <c r="H68" s="149"/>
      <c r="I68" s="47"/>
      <c r="J68" s="47"/>
      <c r="K68" s="47"/>
      <c r="L68" s="149"/>
      <c r="M68" s="149"/>
      <c r="N68" s="149"/>
      <c r="O68" s="149"/>
    </row>
    <row r="69" spans="2:15" ht="13" x14ac:dyDescent="0.15">
      <c r="B69" s="7"/>
      <c r="C69" s="8"/>
      <c r="D69" s="8"/>
      <c r="E69" s="8"/>
      <c r="F69" s="8"/>
      <c r="G69" s="149"/>
      <c r="H69" s="149"/>
      <c r="I69" s="47"/>
      <c r="J69" s="47"/>
      <c r="K69" s="47"/>
      <c r="L69" s="149"/>
      <c r="M69" s="30"/>
      <c r="N69" s="149"/>
      <c r="O69" s="20"/>
    </row>
    <row r="70" spans="2:15" ht="13" x14ac:dyDescent="0.15">
      <c r="B70" s="7" t="s">
        <v>15</v>
      </c>
      <c r="C70" s="8"/>
      <c r="D70" s="8"/>
      <c r="E70" s="8"/>
      <c r="F70" s="8"/>
      <c r="G70" s="149"/>
      <c r="H70" s="149"/>
      <c r="I70" s="47"/>
      <c r="J70" s="47"/>
      <c r="K70" s="47"/>
      <c r="L70" s="149"/>
      <c r="M70" s="30"/>
      <c r="N70" s="149"/>
      <c r="O70" s="20"/>
    </row>
    <row r="71" spans="2:15" ht="13" x14ac:dyDescent="0.15">
      <c r="B71" s="8"/>
      <c r="C71" s="8"/>
      <c r="D71" s="8"/>
      <c r="E71" s="8"/>
      <c r="F71" s="8"/>
      <c r="G71" s="149"/>
      <c r="H71" s="149"/>
      <c r="I71" s="47"/>
      <c r="J71" s="47"/>
      <c r="K71" s="47"/>
      <c r="L71" s="149"/>
      <c r="M71" s="30"/>
      <c r="N71" s="149"/>
      <c r="O71" s="20"/>
    </row>
    <row r="72" spans="2:15" ht="13" x14ac:dyDescent="0.15">
      <c r="B72" s="8"/>
      <c r="C72" s="231" t="s">
        <v>73</v>
      </c>
      <c r="D72" s="232"/>
      <c r="E72" s="233"/>
      <c r="F72" s="8"/>
      <c r="G72" s="149"/>
      <c r="H72" s="149"/>
      <c r="I72" s="47"/>
      <c r="J72" s="47"/>
      <c r="K72" s="47"/>
      <c r="L72" s="149"/>
      <c r="M72" s="149"/>
      <c r="N72" s="149"/>
      <c r="O72" s="149"/>
    </row>
    <row r="73" spans="2:15" ht="13" x14ac:dyDescent="0.15">
      <c r="B73" s="8"/>
      <c r="C73" s="234" t="s">
        <v>74</v>
      </c>
      <c r="D73" s="235"/>
      <c r="E73" s="228"/>
      <c r="F73" s="8"/>
      <c r="G73" s="149"/>
      <c r="H73" s="149"/>
      <c r="I73" s="175"/>
      <c r="J73" s="175"/>
      <c r="K73" s="175"/>
      <c r="L73" s="149"/>
      <c r="M73" s="149"/>
      <c r="N73" s="149"/>
      <c r="O73" s="149"/>
    </row>
    <row r="74" spans="2:15" ht="13" x14ac:dyDescent="0.15">
      <c r="B74" s="8"/>
      <c r="C74" s="224" t="s">
        <v>75</v>
      </c>
      <c r="D74" s="225"/>
      <c r="E74" s="21">
        <f>HLOOKUP('Breakdown of Economic Costs '!$D$6, 'Data - Breakdown of Economic Co'!$E$46:$G$68, 3, FALSE)</f>
        <v>2600</v>
      </c>
      <c r="F74" s="8"/>
      <c r="G74" s="149"/>
      <c r="H74" s="149"/>
      <c r="I74" s="71"/>
      <c r="J74" s="71"/>
      <c r="K74" s="71"/>
      <c r="L74" s="149"/>
      <c r="M74" s="149"/>
      <c r="N74" s="149"/>
      <c r="O74" s="149"/>
    </row>
    <row r="75" spans="2:15" ht="13" x14ac:dyDescent="0.15">
      <c r="B75" s="8"/>
      <c r="C75" s="227" t="s">
        <v>76</v>
      </c>
      <c r="D75" s="228"/>
      <c r="E75" s="21">
        <f>HLOOKUP('Breakdown of Economic Costs '!$D$6, 'Data - Breakdown of Economic Co'!$E$46:$G$68, 4, FALSE)</f>
        <v>3</v>
      </c>
      <c r="F75" s="8"/>
      <c r="G75" s="149"/>
      <c r="H75" s="149"/>
      <c r="I75" s="73"/>
      <c r="J75" s="73"/>
      <c r="K75" s="73"/>
      <c r="L75" s="149"/>
      <c r="M75" s="149"/>
      <c r="N75" s="149"/>
      <c r="O75" s="149"/>
    </row>
    <row r="76" spans="2:15" ht="13" x14ac:dyDescent="0.15">
      <c r="B76" s="8"/>
      <c r="C76" s="227" t="s">
        <v>77</v>
      </c>
      <c r="D76" s="228"/>
      <c r="E76" s="21">
        <f>HLOOKUP('Breakdown of Economic Costs '!$D$6, 'Data - Breakdown of Economic Co'!$E$46:$G$68, 5, FALSE)</f>
        <v>7800</v>
      </c>
      <c r="F76" s="8"/>
      <c r="G76" s="149"/>
      <c r="H76" s="149"/>
      <c r="I76" s="71"/>
      <c r="J76" s="71"/>
      <c r="K76" s="71"/>
      <c r="L76" s="149"/>
      <c r="M76" s="149"/>
      <c r="N76" s="149"/>
      <c r="O76" s="149"/>
    </row>
    <row r="77" spans="2:15" ht="13" x14ac:dyDescent="0.15">
      <c r="B77" s="8"/>
      <c r="C77" s="227" t="s">
        <v>78</v>
      </c>
      <c r="D77" s="228"/>
      <c r="E77" s="158">
        <f>HLOOKUP('Breakdown of Economic Costs '!$D$6, 'Data - Breakdown of Economic Co'!$E$46:$G$68, 6, FALSE)</f>
        <v>0.49</v>
      </c>
      <c r="F77" s="8"/>
      <c r="G77" s="149"/>
      <c r="H77" s="149"/>
      <c r="I77" s="68"/>
      <c r="J77" s="68"/>
      <c r="K77" s="68"/>
      <c r="L77" s="149"/>
      <c r="M77" s="149"/>
      <c r="N77" s="149"/>
      <c r="O77" s="149"/>
    </row>
    <row r="78" spans="2:15" ht="13" x14ac:dyDescent="0.15">
      <c r="B78" s="8"/>
      <c r="C78" s="227" t="s">
        <v>79</v>
      </c>
      <c r="D78" s="228"/>
      <c r="E78" s="21">
        <f>HLOOKUP('Breakdown of Economic Costs '!$D$6, 'Data - Breakdown of Economic Co'!$E$46:$G$68, 7, FALSE)</f>
        <v>86252.4</v>
      </c>
      <c r="F78" s="8"/>
      <c r="G78" s="149"/>
      <c r="H78" s="149"/>
      <c r="I78" s="168"/>
      <c r="J78" s="168"/>
      <c r="K78" s="168"/>
      <c r="L78" s="149"/>
      <c r="M78" s="149"/>
      <c r="N78" s="149"/>
      <c r="O78" s="149"/>
    </row>
    <row r="79" spans="2:15" ht="13" x14ac:dyDescent="0.15">
      <c r="B79" s="8"/>
      <c r="C79" s="224" t="s">
        <v>80</v>
      </c>
      <c r="D79" s="225"/>
      <c r="E79" s="309">
        <f>HLOOKUP('Breakdown of Economic Costs '!$D$6, 'Data - Breakdown of Economic Co'!$E$46:$G$68, 8, FALSE)</f>
        <v>0.3</v>
      </c>
      <c r="F79" s="8"/>
      <c r="G79" s="149"/>
      <c r="H79" s="149"/>
      <c r="I79" s="165"/>
      <c r="J79" s="169"/>
      <c r="K79" s="165"/>
      <c r="L79" s="149"/>
      <c r="M79" s="149"/>
      <c r="N79" s="149"/>
      <c r="O79" s="149"/>
    </row>
    <row r="80" spans="2:15" ht="14" thickBot="1" x14ac:dyDescent="0.2">
      <c r="B80" s="8"/>
      <c r="C80" s="317" t="s">
        <v>81</v>
      </c>
      <c r="D80" s="323"/>
      <c r="E80" s="326">
        <f>E76*E77*E79*E78</f>
        <v>98897001.839999989</v>
      </c>
      <c r="F80" s="8"/>
      <c r="G80" s="149"/>
      <c r="H80" s="149"/>
      <c r="I80" s="167"/>
      <c r="J80" s="167"/>
      <c r="K80" s="167"/>
      <c r="L80" s="149"/>
      <c r="M80" s="149"/>
      <c r="N80" s="149"/>
      <c r="O80" s="149"/>
    </row>
    <row r="81" spans="2:12" ht="13" x14ac:dyDescent="0.15">
      <c r="B81" s="8"/>
      <c r="C81" s="8"/>
      <c r="D81" s="8"/>
      <c r="E81" s="8"/>
      <c r="F81" s="8"/>
      <c r="G81" s="149"/>
      <c r="H81" s="149"/>
      <c r="I81" s="140"/>
      <c r="J81" s="140"/>
      <c r="K81" s="140"/>
      <c r="L81" s="149"/>
    </row>
    <row r="82" spans="2:12" ht="13" x14ac:dyDescent="0.15">
      <c r="B82" s="8"/>
      <c r="C82" s="37" t="s">
        <v>82</v>
      </c>
      <c r="D82" s="22"/>
      <c r="E82" s="23"/>
      <c r="F82" s="8"/>
      <c r="G82" s="149"/>
      <c r="H82" s="149"/>
      <c r="I82" s="140"/>
      <c r="J82" s="140"/>
      <c r="K82" s="140"/>
      <c r="L82" s="149"/>
    </row>
    <row r="83" spans="2:12" ht="13" x14ac:dyDescent="0.15">
      <c r="B83" s="8"/>
      <c r="C83" s="226" t="s">
        <v>83</v>
      </c>
      <c r="D83" s="223"/>
      <c r="E83" s="221"/>
      <c r="F83" s="8"/>
      <c r="G83" s="149"/>
      <c r="H83" s="149"/>
      <c r="I83" s="175"/>
      <c r="J83" s="175"/>
      <c r="K83" s="175"/>
      <c r="L83" s="149"/>
    </row>
    <row r="84" spans="2:12" ht="13" x14ac:dyDescent="0.15">
      <c r="B84" s="8"/>
      <c r="C84" s="229" t="s">
        <v>28</v>
      </c>
      <c r="D84" s="221"/>
      <c r="E84" s="24">
        <f>HLOOKUP('Breakdown of Economic Costs '!$D$6, 'Data - Breakdown of Economic Co'!$E$46:$G$68, 10, FALSE)</f>
        <v>38000</v>
      </c>
      <c r="F84" s="8"/>
      <c r="G84" s="149"/>
      <c r="H84" s="149"/>
      <c r="I84" s="163"/>
      <c r="J84" s="163"/>
      <c r="K84" s="163"/>
      <c r="L84" s="149"/>
    </row>
    <row r="85" spans="2:12" ht="13" x14ac:dyDescent="0.15">
      <c r="B85" s="8"/>
      <c r="C85" s="224" t="s">
        <v>84</v>
      </c>
      <c r="D85" s="225"/>
      <c r="E85" s="24">
        <f>HLOOKUP('Breakdown of Economic Costs '!$D$6, 'Data - Breakdown of Economic Co'!$E$46:$G$68, 11, FALSE)</f>
        <v>3</v>
      </c>
      <c r="F85" s="8"/>
      <c r="G85" s="149"/>
      <c r="H85" s="30"/>
      <c r="I85" s="164"/>
      <c r="J85" s="164"/>
      <c r="K85" s="164"/>
      <c r="L85" s="149"/>
    </row>
    <row r="86" spans="2:12" ht="14" x14ac:dyDescent="0.15">
      <c r="B86" s="8"/>
      <c r="C86" s="104" t="s">
        <v>85</v>
      </c>
      <c r="D86" s="25"/>
      <c r="E86" s="24">
        <f>HLOOKUP('Breakdown of Economic Costs '!$D$6, 'Data - Breakdown of Economic Co'!$E$46:$G$68, 12, FALSE)</f>
        <v>114000</v>
      </c>
      <c r="F86" s="8"/>
      <c r="G86" s="30"/>
      <c r="H86" s="149"/>
      <c r="I86" s="164"/>
      <c r="J86" s="164"/>
      <c r="K86" s="164"/>
      <c r="L86" s="27"/>
    </row>
    <row r="87" spans="2:12" ht="13" x14ac:dyDescent="0.15">
      <c r="B87" s="8"/>
      <c r="C87" s="229" t="s">
        <v>86</v>
      </c>
      <c r="D87" s="221"/>
      <c r="E87" s="159">
        <f>HLOOKUP('Breakdown of Economic Costs '!$D$6, 'Data - Breakdown of Economic Co'!$E$46:$G$68, 13, FALSE)</f>
        <v>0.49</v>
      </c>
      <c r="F87" s="8"/>
      <c r="G87" s="149"/>
      <c r="H87" s="149"/>
      <c r="I87" s="164"/>
      <c r="J87" s="164"/>
      <c r="K87" s="164"/>
      <c r="L87" s="27"/>
    </row>
    <row r="88" spans="2:12" ht="13" x14ac:dyDescent="0.15">
      <c r="B88" s="8"/>
      <c r="C88" s="227" t="s">
        <v>87</v>
      </c>
      <c r="D88" s="228"/>
      <c r="E88" s="24">
        <f>HLOOKUP('Breakdown of Economic Costs '!$D$6, 'Data - Breakdown of Economic Co'!$E$46:$G$68, 14, FALSE)</f>
        <v>6</v>
      </c>
      <c r="F88" s="8"/>
      <c r="G88" s="149"/>
      <c r="H88" s="149"/>
      <c r="I88" s="165"/>
      <c r="J88" s="165"/>
      <c r="K88" s="165"/>
      <c r="L88" s="27"/>
    </row>
    <row r="89" spans="2:12" ht="13" x14ac:dyDescent="0.15">
      <c r="B89" s="8"/>
      <c r="C89" s="227" t="s">
        <v>88</v>
      </c>
      <c r="D89" s="228"/>
      <c r="E89" s="24">
        <f>HLOOKUP('Breakdown of Economic Costs '!$D$6, 'Data - Breakdown of Economic Co'!$E$46:$G$68, 15, FALSE)</f>
        <v>331.73999999999995</v>
      </c>
      <c r="F89" s="8"/>
      <c r="G89" s="149"/>
      <c r="H89" s="149"/>
      <c r="I89" s="170"/>
      <c r="J89" s="171"/>
      <c r="K89" s="170"/>
      <c r="L89" s="27"/>
    </row>
    <row r="90" spans="2:12" ht="13" x14ac:dyDescent="0.15">
      <c r="B90" s="8"/>
      <c r="C90" s="227" t="s">
        <v>89</v>
      </c>
      <c r="D90" s="228"/>
      <c r="E90" s="26">
        <f>E86*E87*E88*E89</f>
        <v>111185978.39999999</v>
      </c>
      <c r="F90" s="8"/>
      <c r="G90" s="149"/>
      <c r="H90" s="149"/>
      <c r="I90" s="167"/>
      <c r="J90" s="167"/>
      <c r="K90" s="167"/>
      <c r="L90" s="27"/>
    </row>
    <row r="91" spans="2:12" ht="13" x14ac:dyDescent="0.15">
      <c r="B91" s="8"/>
      <c r="C91" s="226" t="s">
        <v>90</v>
      </c>
      <c r="D91" s="223"/>
      <c r="E91" s="221"/>
      <c r="F91" s="8"/>
      <c r="G91" s="149"/>
      <c r="H91" s="149"/>
      <c r="I91" s="140"/>
      <c r="J91" s="140"/>
      <c r="K91" s="140"/>
      <c r="L91" s="149"/>
    </row>
    <row r="92" spans="2:12" ht="13" x14ac:dyDescent="0.15">
      <c r="B92" s="8"/>
      <c r="C92" s="220" t="s">
        <v>26</v>
      </c>
      <c r="D92" s="221"/>
      <c r="E92" s="24">
        <f>HLOOKUP('Breakdown of Economic Costs '!$D$6, 'Data - Breakdown of Economic Co'!$E$46:$G$68, 17, FALSE)</f>
        <v>2600</v>
      </c>
      <c r="F92" s="8"/>
      <c r="G92" s="30"/>
      <c r="H92" s="149"/>
      <c r="I92" s="163"/>
      <c r="J92" s="163"/>
      <c r="K92" s="163"/>
      <c r="L92" s="149"/>
    </row>
    <row r="93" spans="2:12" ht="13" x14ac:dyDescent="0.15">
      <c r="B93" s="8"/>
      <c r="C93" s="227" t="s">
        <v>41</v>
      </c>
      <c r="D93" s="228"/>
      <c r="E93" s="24">
        <f>HLOOKUP('Breakdown of Economic Costs '!$D$6, 'Data - Breakdown of Economic Co'!$E$46:$G$68, 18, FALSE)</f>
        <v>3</v>
      </c>
      <c r="F93" s="8"/>
      <c r="G93" s="149"/>
      <c r="H93" s="149"/>
      <c r="I93" s="164"/>
      <c r="J93" s="164"/>
      <c r="K93" s="164"/>
      <c r="L93" s="149"/>
    </row>
    <row r="94" spans="2:12" ht="13" x14ac:dyDescent="0.15">
      <c r="B94" s="8"/>
      <c r="C94" s="227" t="s">
        <v>42</v>
      </c>
      <c r="D94" s="228"/>
      <c r="E94" s="24">
        <f>HLOOKUP('Breakdown of Economic Costs '!$D$6, 'Data - Breakdown of Economic Co'!$E$46:$G$68, 19, FALSE)</f>
        <v>7800</v>
      </c>
      <c r="F94" s="8"/>
      <c r="G94" s="30"/>
      <c r="H94" s="149"/>
      <c r="I94" s="162"/>
      <c r="J94" s="162"/>
      <c r="K94" s="162"/>
      <c r="L94" s="149"/>
    </row>
    <row r="95" spans="2:12" ht="13" x14ac:dyDescent="0.15">
      <c r="B95" s="8"/>
      <c r="C95" s="227" t="s">
        <v>91</v>
      </c>
      <c r="D95" s="228"/>
      <c r="E95" s="159">
        <f>HLOOKUP('Breakdown of Economic Costs '!$D$6, 'Data - Breakdown of Economic Co'!$E$46:$G$68, 20, FALSE)</f>
        <v>4.8149999999999998E-2</v>
      </c>
      <c r="F95" s="8"/>
      <c r="G95" s="149"/>
      <c r="H95" s="149"/>
      <c r="I95" s="172"/>
      <c r="J95" s="165"/>
      <c r="K95" s="165"/>
      <c r="L95" s="149"/>
    </row>
    <row r="96" spans="2:12" ht="13" x14ac:dyDescent="0.15">
      <c r="B96" s="8"/>
      <c r="C96" s="227" t="s">
        <v>92</v>
      </c>
      <c r="D96" s="228"/>
      <c r="E96" s="160">
        <f>HLOOKUP('Breakdown of Economic Costs '!$D$6, 'Data - Breakdown of Economic Co'!$E$46:$G$68, 21, FALSE)</f>
        <v>1827.47</v>
      </c>
      <c r="F96" s="8"/>
      <c r="G96" s="149"/>
      <c r="H96" s="149"/>
      <c r="I96" s="168"/>
      <c r="J96" s="168"/>
      <c r="K96" s="168"/>
      <c r="L96" s="149"/>
    </row>
    <row r="97" spans="2:12" ht="13" x14ac:dyDescent="0.15">
      <c r="B97" s="8"/>
      <c r="C97" s="227" t="s">
        <v>93</v>
      </c>
      <c r="D97" s="228"/>
      <c r="E97" s="24">
        <f>HLOOKUP('Breakdown of Economic Costs '!$D$6, 'Data - Breakdown of Economic Co'!$E$46:$G$68, 22, FALSE)</f>
        <v>38</v>
      </c>
      <c r="F97" s="8"/>
      <c r="G97" s="149"/>
      <c r="H97" s="149"/>
      <c r="I97" s="166"/>
      <c r="J97" s="166"/>
      <c r="K97" s="166"/>
      <c r="L97" s="149"/>
    </row>
    <row r="98" spans="2:12" ht="13" x14ac:dyDescent="0.15">
      <c r="B98" s="8"/>
      <c r="C98" s="227" t="s">
        <v>94</v>
      </c>
      <c r="D98" s="228"/>
      <c r="E98" s="160">
        <f>HLOOKUP('Breakdown of Economic Costs '!$D$6, 'Data - Breakdown of Economic Co'!$E$46:$G$68, 23, FALSE)</f>
        <v>37.549999999999997</v>
      </c>
      <c r="F98" s="8"/>
      <c r="G98" s="149"/>
      <c r="H98" s="149"/>
      <c r="I98" s="166"/>
      <c r="J98" s="166"/>
      <c r="K98" s="166"/>
      <c r="L98" s="149"/>
    </row>
    <row r="99" spans="2:12" ht="13" x14ac:dyDescent="0.15">
      <c r="B99" s="8"/>
      <c r="C99" s="224" t="s">
        <v>95</v>
      </c>
      <c r="D99" s="225"/>
      <c r="E99" s="28">
        <f>SUM(E94*E95*E96 + E94*E95*E97*E98)</f>
        <v>1222243.7409000001</v>
      </c>
      <c r="F99" s="8"/>
      <c r="G99" s="149"/>
      <c r="H99" s="149"/>
      <c r="I99" s="173"/>
      <c r="J99" s="173"/>
      <c r="K99" s="173"/>
      <c r="L99" s="149"/>
    </row>
    <row r="100" spans="2:12" ht="14" thickBot="1" x14ac:dyDescent="0.2">
      <c r="B100" s="8"/>
      <c r="C100" s="317" t="s">
        <v>82</v>
      </c>
      <c r="D100" s="323"/>
      <c r="E100" s="326">
        <f>E90+E99</f>
        <v>112408222.14089999</v>
      </c>
      <c r="F100" s="8"/>
      <c r="G100" s="149"/>
      <c r="H100" s="149"/>
      <c r="I100" s="167"/>
      <c r="J100" s="167"/>
      <c r="K100" s="167"/>
      <c r="L100" s="149"/>
    </row>
    <row r="101" spans="2:12" ht="14" thickBot="1" x14ac:dyDescent="0.2">
      <c r="B101" s="8"/>
      <c r="C101" s="110"/>
      <c r="D101" s="111"/>
      <c r="E101" s="110"/>
      <c r="F101" s="8"/>
      <c r="G101" s="149"/>
      <c r="H101" s="149"/>
      <c r="I101" s="140"/>
      <c r="J101" s="140"/>
      <c r="K101" s="140"/>
      <c r="L101" s="149"/>
    </row>
    <row r="102" spans="2:12" ht="14" thickBot="1" x14ac:dyDescent="0.2">
      <c r="B102" s="8"/>
      <c r="C102" s="244" t="s">
        <v>96</v>
      </c>
      <c r="D102" s="245"/>
      <c r="E102" s="327">
        <f>E80+E100</f>
        <v>211305223.98089999</v>
      </c>
      <c r="F102" s="8"/>
      <c r="G102" s="149"/>
      <c r="H102" s="149"/>
      <c r="I102" s="167"/>
      <c r="J102" s="167"/>
      <c r="K102" s="167"/>
      <c r="L102" s="149"/>
    </row>
    <row r="103" spans="2:12" ht="14" thickTop="1" x14ac:dyDescent="0.15">
      <c r="B103" s="8"/>
      <c r="C103" s="246"/>
      <c r="D103" s="203"/>
      <c r="E103" s="154"/>
      <c r="F103" s="8"/>
      <c r="G103" s="149"/>
      <c r="H103" s="149"/>
      <c r="I103" s="149"/>
      <c r="J103" s="149"/>
      <c r="K103" s="149"/>
      <c r="L103" s="149"/>
    </row>
    <row r="105" spans="2:12" ht="13" x14ac:dyDescent="0.15">
      <c r="B105" s="7"/>
      <c r="C105" s="8"/>
      <c r="D105" s="8"/>
      <c r="E105" s="8"/>
      <c r="F105" s="8"/>
      <c r="G105" s="342"/>
      <c r="H105" s="149"/>
      <c r="I105" s="149"/>
      <c r="J105" s="149"/>
      <c r="K105" s="149"/>
      <c r="L105" s="149"/>
    </row>
    <row r="106" spans="2:12" ht="13" x14ac:dyDescent="0.15">
      <c r="B106" s="7" t="s">
        <v>97</v>
      </c>
      <c r="C106" s="8"/>
      <c r="D106" s="8"/>
      <c r="E106" s="8"/>
      <c r="F106" s="8"/>
      <c r="G106" s="342"/>
      <c r="H106" s="149"/>
      <c r="I106" s="149"/>
      <c r="J106" s="149"/>
      <c r="K106" s="149"/>
      <c r="L106" s="149"/>
    </row>
    <row r="107" spans="2:12" ht="13" x14ac:dyDescent="0.15">
      <c r="B107" s="8"/>
      <c r="C107" s="8"/>
      <c r="D107" s="8"/>
      <c r="E107" s="8"/>
      <c r="F107" s="8"/>
      <c r="G107" s="342"/>
      <c r="H107" s="149"/>
      <c r="I107" s="155"/>
      <c r="J107" s="155"/>
      <c r="K107" s="155"/>
      <c r="L107" s="155"/>
    </row>
    <row r="108" spans="2:12" ht="13" x14ac:dyDescent="0.15">
      <c r="B108" s="8"/>
      <c r="C108" s="402" t="s">
        <v>98</v>
      </c>
      <c r="D108" s="22"/>
      <c r="E108" s="23"/>
      <c r="F108" s="8"/>
      <c r="G108" s="342"/>
      <c r="H108" s="29"/>
      <c r="I108" s="96"/>
      <c r="J108" s="92"/>
      <c r="K108" s="155"/>
      <c r="L108" s="155"/>
    </row>
    <row r="109" spans="2:12" ht="45" customHeight="1" x14ac:dyDescent="0.15">
      <c r="B109" s="8"/>
      <c r="C109" s="226" t="s">
        <v>231</v>
      </c>
      <c r="D109" s="223"/>
      <c r="E109" s="221"/>
      <c r="F109" s="8"/>
      <c r="G109" s="342"/>
      <c r="H109" s="30"/>
      <c r="I109" s="88"/>
      <c r="J109" s="88"/>
      <c r="K109" s="88"/>
      <c r="L109" s="155"/>
    </row>
    <row r="110" spans="2:12" ht="13" x14ac:dyDescent="0.15">
      <c r="B110" s="8"/>
      <c r="C110" s="247" t="s">
        <v>228</v>
      </c>
      <c r="D110" s="248"/>
      <c r="E110" s="117">
        <f>HLOOKUP($D$7, 'Data - Breakdown of Economic Co'!$E$74:$G$138, 3, FALSE)</f>
        <v>2600</v>
      </c>
      <c r="F110" s="7"/>
      <c r="G110" s="373"/>
      <c r="H110" s="149"/>
      <c r="I110" s="155"/>
      <c r="J110" s="155"/>
      <c r="K110" s="155"/>
      <c r="L110" s="155"/>
    </row>
    <row r="111" spans="2:12" ht="13" x14ac:dyDescent="0.15">
      <c r="B111" s="8"/>
      <c r="C111" s="247" t="s">
        <v>229</v>
      </c>
      <c r="D111" s="248"/>
      <c r="E111" s="117">
        <f>HLOOKUP($D$7, 'Data - Breakdown of Economic Co'!$E$74:$G$138, 4, FALSE)</f>
        <v>3</v>
      </c>
      <c r="F111" s="7"/>
      <c r="G111" s="373"/>
      <c r="H111" s="149"/>
      <c r="I111" s="155"/>
      <c r="J111" s="155"/>
      <c r="K111" s="155"/>
      <c r="L111" s="155"/>
    </row>
    <row r="112" spans="2:12" ht="13" x14ac:dyDescent="0.15">
      <c r="B112" s="8"/>
      <c r="C112" s="247" t="s">
        <v>99</v>
      </c>
      <c r="D112" s="248"/>
      <c r="E112" s="117">
        <f>HLOOKUP($D$7, 'Data - Breakdown of Economic Co'!$E$74:$G$138, 5, FALSE)</f>
        <v>7800</v>
      </c>
      <c r="F112" s="7"/>
      <c r="G112" s="374"/>
      <c r="H112" s="155"/>
      <c r="I112" s="155"/>
      <c r="J112" s="155"/>
      <c r="K112" s="155"/>
      <c r="L112" s="149"/>
    </row>
    <row r="113" spans="1:27" ht="13" x14ac:dyDescent="0.15">
      <c r="A113" s="149"/>
      <c r="B113" s="8"/>
      <c r="C113" s="249" t="s">
        <v>100</v>
      </c>
      <c r="D113" s="250"/>
      <c r="E113" s="376">
        <f>HLOOKUP($D$7, 'Data - Breakdown of Economic Co'!$E$74:$G$138, 6, FALSE)</f>
        <v>0.14000000000000001</v>
      </c>
      <c r="F113" s="8"/>
      <c r="G113" s="155"/>
      <c r="H113" s="155"/>
      <c r="I113" s="155"/>
      <c r="J113" s="155"/>
      <c r="K113" s="155"/>
      <c r="L113" s="149"/>
      <c r="M113" s="149"/>
      <c r="N113" s="149"/>
      <c r="O113" s="149"/>
      <c r="P113" s="149"/>
      <c r="Q113" s="149"/>
      <c r="R113" s="149"/>
      <c r="S113" s="149"/>
      <c r="T113" s="149"/>
      <c r="U113" s="149"/>
      <c r="V113" s="149"/>
      <c r="W113" s="149"/>
      <c r="X113" s="149"/>
      <c r="Y113" s="149"/>
      <c r="Z113" s="149"/>
      <c r="AA113" s="149"/>
    </row>
    <row r="114" spans="1:27" ht="13" x14ac:dyDescent="0.15">
      <c r="A114" s="149"/>
      <c r="B114" s="8"/>
      <c r="C114" s="247" t="s">
        <v>101</v>
      </c>
      <c r="D114" s="248"/>
      <c r="E114" s="117">
        <f>HLOOKUP($D$7, 'Data - Breakdown of Economic Co'!$E$74:$G$138, 7, FALSE)</f>
        <v>8</v>
      </c>
      <c r="F114" s="8"/>
      <c r="G114" s="155"/>
      <c r="H114" s="155"/>
      <c r="I114" s="155"/>
      <c r="J114" s="155"/>
      <c r="K114" s="155"/>
      <c r="L114" s="149"/>
      <c r="M114" s="30"/>
      <c r="N114" s="31"/>
      <c r="O114" s="149"/>
      <c r="P114" s="149"/>
      <c r="Q114" s="149"/>
      <c r="R114" s="149"/>
      <c r="S114" s="149"/>
      <c r="T114" s="149"/>
      <c r="U114" s="149"/>
      <c r="V114" s="149"/>
      <c r="W114" s="149"/>
      <c r="X114" s="149"/>
      <c r="Y114" s="149"/>
      <c r="Z114" s="149"/>
      <c r="AA114" s="149"/>
    </row>
    <row r="115" spans="1:27" ht="13" x14ac:dyDescent="0.15">
      <c r="A115" s="149"/>
      <c r="B115" s="8"/>
      <c r="C115" s="247" t="s">
        <v>102</v>
      </c>
      <c r="D115" s="248"/>
      <c r="E115" s="117">
        <f>HLOOKUP($D$7, 'Data - Breakdown of Economic Co'!$E$74:$G$138, 8, FALSE)</f>
        <v>350</v>
      </c>
      <c r="F115" s="8"/>
      <c r="G115" s="155"/>
      <c r="H115" s="155"/>
      <c r="I115" s="155"/>
      <c r="J115" s="155"/>
      <c r="K115" s="155"/>
      <c r="L115" s="149"/>
      <c r="M115" s="30"/>
      <c r="N115" s="20"/>
      <c r="O115" s="149"/>
      <c r="P115" s="149"/>
      <c r="Q115" s="149"/>
      <c r="R115" s="149"/>
      <c r="S115" s="149"/>
      <c r="T115" s="149"/>
      <c r="U115" s="149"/>
      <c r="V115" s="149"/>
      <c r="W115" s="149"/>
      <c r="X115" s="149"/>
      <c r="Y115" s="149"/>
      <c r="Z115" s="149"/>
      <c r="AA115" s="149"/>
    </row>
    <row r="116" spans="1:27" ht="13" x14ac:dyDescent="0.15">
      <c r="A116" s="149"/>
      <c r="B116" s="8"/>
      <c r="C116" s="249" t="s">
        <v>103</v>
      </c>
      <c r="D116" s="250"/>
      <c r="E116" s="376">
        <f>HLOOKUP($D$7, 'Data - Breakdown of Economic Co'!$E$74:$G$138, 9, FALSE)</f>
        <v>0.94</v>
      </c>
      <c r="F116" s="32"/>
      <c r="G116" s="85"/>
      <c r="H116" s="155"/>
      <c r="I116" s="155"/>
      <c r="J116" s="155"/>
      <c r="K116" s="155"/>
      <c r="L116" s="149"/>
      <c r="M116" s="30"/>
      <c r="N116" s="20"/>
      <c r="O116" s="149"/>
      <c r="P116" s="149"/>
      <c r="Q116" s="149"/>
      <c r="R116" s="149"/>
      <c r="S116" s="149"/>
      <c r="T116" s="149"/>
      <c r="U116" s="149"/>
      <c r="V116" s="149"/>
      <c r="W116" s="149"/>
      <c r="X116" s="149"/>
      <c r="Y116" s="149"/>
      <c r="Z116" s="149"/>
      <c r="AA116" s="149"/>
    </row>
    <row r="117" spans="1:27" ht="13" x14ac:dyDescent="0.15">
      <c r="A117" s="149"/>
      <c r="B117" s="8"/>
      <c r="C117" s="264" t="s">
        <v>104</v>
      </c>
      <c r="D117" s="265"/>
      <c r="E117" s="389">
        <f>SUM(E115*E114*E113*E116)</f>
        <v>368.48</v>
      </c>
      <c r="F117" s="32"/>
      <c r="G117" s="97"/>
      <c r="H117" s="155"/>
      <c r="I117" s="155"/>
      <c r="J117" s="155"/>
      <c r="K117" s="155"/>
      <c r="L117" s="149"/>
      <c r="M117" s="30"/>
      <c r="N117" s="20"/>
      <c r="O117" s="149"/>
      <c r="P117" s="149"/>
      <c r="Q117" s="149"/>
      <c r="R117" s="149"/>
      <c r="S117" s="149"/>
      <c r="T117" s="149"/>
      <c r="U117" s="149"/>
      <c r="V117" s="149"/>
      <c r="W117" s="149"/>
      <c r="X117" s="149"/>
      <c r="Y117" s="149"/>
      <c r="Z117" s="149"/>
      <c r="AA117" s="149"/>
    </row>
    <row r="118" spans="1:27" ht="13" x14ac:dyDescent="0.15">
      <c r="A118" s="149"/>
      <c r="B118" s="8"/>
      <c r="C118" s="264" t="s">
        <v>230</v>
      </c>
      <c r="D118" s="265"/>
      <c r="E118" s="389">
        <f>SUM(E116*E115*E114)</f>
        <v>2632</v>
      </c>
      <c r="F118" s="32"/>
      <c r="G118" s="155"/>
      <c r="H118" s="155"/>
      <c r="I118" s="155"/>
      <c r="J118" s="155"/>
      <c r="K118" s="155"/>
      <c r="L118" s="149"/>
      <c r="M118" s="30"/>
      <c r="N118" s="20"/>
      <c r="O118" s="149"/>
      <c r="P118" s="149"/>
      <c r="Q118" s="149"/>
      <c r="R118" s="149"/>
      <c r="S118" s="149"/>
      <c r="T118" s="149"/>
      <c r="U118" s="149"/>
      <c r="V118" s="149"/>
      <c r="W118" s="149"/>
      <c r="X118" s="149"/>
      <c r="Y118" s="149"/>
      <c r="Z118" s="149"/>
      <c r="AA118" s="149"/>
    </row>
    <row r="119" spans="1:27" ht="14" thickBot="1" x14ac:dyDescent="0.2">
      <c r="A119" s="149"/>
      <c r="B119" s="8"/>
      <c r="C119" s="320" t="s">
        <v>215</v>
      </c>
      <c r="D119" s="324"/>
      <c r="E119" s="326">
        <f>SUM(E117*E112)</f>
        <v>2874144</v>
      </c>
      <c r="F119" s="32"/>
      <c r="G119" s="155"/>
      <c r="H119" s="155"/>
      <c r="I119" s="155"/>
      <c r="J119" s="155"/>
      <c r="K119" s="155"/>
      <c r="L119" s="149"/>
      <c r="M119" s="149"/>
      <c r="N119" s="149"/>
      <c r="O119" s="149"/>
      <c r="P119" s="149"/>
      <c r="Q119" s="149"/>
      <c r="R119" s="149"/>
      <c r="S119" s="149"/>
      <c r="T119" s="149"/>
      <c r="U119" s="149"/>
      <c r="V119" s="149"/>
      <c r="W119" s="149"/>
      <c r="X119" s="149"/>
      <c r="Y119" s="149"/>
      <c r="Z119" s="149"/>
      <c r="AA119" s="149"/>
    </row>
    <row r="120" spans="1:27" ht="13" x14ac:dyDescent="0.15">
      <c r="A120" s="149"/>
      <c r="B120" s="8"/>
      <c r="C120" s="32"/>
      <c r="D120" s="112"/>
      <c r="E120" s="112"/>
      <c r="F120" s="32"/>
      <c r="G120" s="86"/>
      <c r="H120" s="266"/>
      <c r="I120" s="252"/>
      <c r="J120" s="87"/>
      <c r="K120" s="155"/>
      <c r="L120" s="149"/>
      <c r="M120" s="149"/>
      <c r="N120" s="149"/>
      <c r="O120" s="149"/>
      <c r="P120" s="149"/>
      <c r="Q120" s="149"/>
      <c r="R120" s="149"/>
      <c r="S120" s="149"/>
      <c r="T120" s="149"/>
      <c r="U120" s="149"/>
      <c r="V120" s="149"/>
      <c r="W120" s="149"/>
      <c r="X120" s="149"/>
      <c r="Y120" s="149"/>
      <c r="Z120" s="149"/>
      <c r="AA120" s="149"/>
    </row>
    <row r="121" spans="1:27" ht="13" x14ac:dyDescent="0.15">
      <c r="A121" s="149"/>
      <c r="B121" s="8"/>
      <c r="C121" s="37" t="s">
        <v>105</v>
      </c>
      <c r="D121" s="22"/>
      <c r="E121" s="23"/>
      <c r="F121" s="32"/>
      <c r="G121" s="155"/>
      <c r="H121" s="155"/>
      <c r="I121" s="155"/>
      <c r="J121" s="155"/>
      <c r="K121" s="155"/>
      <c r="L121" s="149"/>
      <c r="M121" s="149"/>
      <c r="N121" s="149"/>
      <c r="O121" s="149"/>
      <c r="P121" s="149"/>
      <c r="Q121" s="149"/>
      <c r="R121" s="149"/>
      <c r="S121" s="149"/>
      <c r="T121" s="149"/>
      <c r="U121" s="149"/>
      <c r="V121" s="149"/>
      <c r="W121" s="149"/>
      <c r="X121" s="149"/>
      <c r="Y121" s="149"/>
      <c r="Z121" s="149"/>
      <c r="AA121" s="149"/>
    </row>
    <row r="122" spans="1:27" ht="30" customHeight="1" x14ac:dyDescent="0.15">
      <c r="A122" s="149"/>
      <c r="B122" s="8"/>
      <c r="C122" s="255" t="s">
        <v>232</v>
      </c>
      <c r="D122" s="203"/>
      <c r="E122" s="230"/>
      <c r="F122" s="32"/>
      <c r="G122" s="85"/>
      <c r="H122" s="155"/>
      <c r="I122" s="88"/>
      <c r="J122" s="88"/>
      <c r="K122" s="88"/>
      <c r="L122" s="149"/>
      <c r="M122" s="149"/>
      <c r="N122" s="149"/>
      <c r="O122" s="149"/>
      <c r="P122" s="149"/>
      <c r="Q122" s="149"/>
      <c r="R122" s="149"/>
      <c r="S122" s="149"/>
      <c r="T122" s="149"/>
      <c r="U122" s="149"/>
      <c r="V122" s="149"/>
      <c r="W122" s="149"/>
      <c r="X122" s="149"/>
      <c r="Y122" s="149"/>
      <c r="Z122" s="149"/>
      <c r="AA122" s="149"/>
    </row>
    <row r="123" spans="1:27" ht="13" x14ac:dyDescent="0.15">
      <c r="A123" s="149"/>
      <c r="B123" s="8"/>
      <c r="C123" s="247" t="s">
        <v>228</v>
      </c>
      <c r="D123" s="248"/>
      <c r="E123" s="117">
        <f>HLOOKUP($D$7, 'Data - Breakdown of Economic Co'!$E$74:$G$138, 13, FALSE)</f>
        <v>2600</v>
      </c>
      <c r="F123" s="32"/>
      <c r="G123" s="155"/>
      <c r="H123" s="155"/>
      <c r="I123" s="155"/>
      <c r="J123" s="155"/>
      <c r="K123" s="155"/>
      <c r="L123" s="149"/>
      <c r="M123" s="149"/>
      <c r="N123" s="149"/>
      <c r="O123" s="149"/>
      <c r="P123" s="149"/>
      <c r="Q123" s="149"/>
      <c r="R123" s="149"/>
      <c r="S123" s="149"/>
      <c r="T123" s="149"/>
      <c r="U123" s="149"/>
      <c r="V123" s="149"/>
      <c r="W123" s="149"/>
      <c r="X123" s="149"/>
      <c r="Y123" s="149"/>
      <c r="Z123" s="149"/>
      <c r="AA123" s="149"/>
    </row>
    <row r="124" spans="1:27" ht="15.75" customHeight="1" x14ac:dyDescent="0.15">
      <c r="A124" s="149"/>
      <c r="B124" s="8"/>
      <c r="C124" s="247" t="s">
        <v>233</v>
      </c>
      <c r="D124" s="248"/>
      <c r="E124" s="117">
        <f>HLOOKUP($D$7, 'Data - Breakdown of Economic Co'!$E$74:$G$138, 14, FALSE)</f>
        <v>3</v>
      </c>
      <c r="F124" s="32"/>
      <c r="G124" s="155"/>
      <c r="H124" s="155"/>
      <c r="I124" s="155"/>
      <c r="J124" s="155"/>
      <c r="K124" s="155"/>
      <c r="L124" s="149"/>
      <c r="M124" s="149"/>
      <c r="N124" s="149"/>
      <c r="O124" s="149"/>
      <c r="P124" s="149"/>
      <c r="Q124" s="149"/>
      <c r="R124" s="149"/>
      <c r="S124" s="149"/>
      <c r="T124" s="149"/>
      <c r="U124" s="149"/>
      <c r="V124" s="149"/>
      <c r="W124" s="149"/>
      <c r="X124" s="149"/>
      <c r="Y124" s="149"/>
      <c r="Z124" s="149"/>
      <c r="AA124" s="149"/>
    </row>
    <row r="125" spans="1:27" ht="13" x14ac:dyDescent="0.15">
      <c r="A125" s="149"/>
      <c r="B125" s="8"/>
      <c r="C125" s="247" t="s">
        <v>99</v>
      </c>
      <c r="D125" s="248"/>
      <c r="E125" s="117">
        <f>HLOOKUP($D$7, 'Data - Breakdown of Economic Co'!$E$74:$G$138, 15, FALSE)</f>
        <v>7800</v>
      </c>
      <c r="F125" s="32"/>
      <c r="G125" s="155"/>
      <c r="H125" s="155"/>
      <c r="I125" s="155"/>
      <c r="J125" s="155"/>
      <c r="K125" s="155"/>
      <c r="L125" s="149"/>
      <c r="M125" s="149"/>
      <c r="N125" s="149"/>
      <c r="O125" s="149"/>
      <c r="P125" s="149"/>
      <c r="Q125" s="149"/>
      <c r="R125" s="149"/>
      <c r="S125" s="149"/>
      <c r="T125" s="149"/>
      <c r="U125" s="149"/>
      <c r="V125" s="149"/>
      <c r="W125" s="149"/>
      <c r="X125" s="149"/>
      <c r="Y125" s="149"/>
      <c r="Z125" s="149"/>
      <c r="AA125" s="149"/>
    </row>
    <row r="126" spans="1:27" ht="13" x14ac:dyDescent="0.15">
      <c r="A126" s="149"/>
      <c r="B126" s="8"/>
      <c r="C126" s="242" t="s">
        <v>106</v>
      </c>
      <c r="D126" s="243"/>
      <c r="E126" s="376">
        <f>HLOOKUP($D$7, 'Data - Breakdown of Economic Co'!$E$74:$G$138, 16, FALSE)</f>
        <v>0.2</v>
      </c>
      <c r="F126" s="32"/>
      <c r="G126" s="155"/>
      <c r="H126" s="155"/>
      <c r="I126" s="155"/>
      <c r="J126" s="155"/>
      <c r="K126" s="155"/>
      <c r="L126" s="149"/>
      <c r="M126" s="149"/>
      <c r="N126" s="149"/>
      <c r="O126" s="149"/>
      <c r="P126" s="149"/>
      <c r="Q126" s="149"/>
      <c r="R126" s="149"/>
      <c r="S126" s="149"/>
      <c r="T126" s="149"/>
      <c r="U126" s="149"/>
      <c r="V126" s="149"/>
      <c r="W126" s="149"/>
      <c r="X126" s="149"/>
      <c r="Y126" s="149"/>
      <c r="Z126" s="149"/>
      <c r="AA126" s="149"/>
    </row>
    <row r="127" spans="1:27" ht="13" x14ac:dyDescent="0.15">
      <c r="A127" s="149"/>
      <c r="B127" s="8"/>
      <c r="C127" s="242" t="s">
        <v>107</v>
      </c>
      <c r="D127" s="243"/>
      <c r="E127" s="117">
        <f>HLOOKUP($D$7, 'Data - Breakdown of Economic Co'!$E$74:$G$138, 17, FALSE)</f>
        <v>3</v>
      </c>
      <c r="F127" s="32"/>
      <c r="G127" s="155"/>
      <c r="H127" s="155"/>
      <c r="I127" s="155"/>
      <c r="J127" s="155"/>
      <c r="K127" s="155"/>
      <c r="L127" s="149"/>
      <c r="M127" s="149"/>
      <c r="N127" s="149"/>
      <c r="O127" s="149"/>
      <c r="P127" s="149"/>
      <c r="Q127" s="149"/>
      <c r="R127" s="149"/>
      <c r="S127" s="149"/>
      <c r="T127" s="149"/>
      <c r="U127" s="149"/>
      <c r="V127" s="149"/>
      <c r="W127" s="149"/>
      <c r="X127" s="149"/>
      <c r="Y127" s="149"/>
      <c r="Z127" s="149"/>
      <c r="AA127" s="149"/>
    </row>
    <row r="128" spans="1:27" ht="13" x14ac:dyDescent="0.15">
      <c r="A128" s="149"/>
      <c r="B128" s="8"/>
      <c r="C128" s="242" t="s">
        <v>108</v>
      </c>
      <c r="D128" s="243"/>
      <c r="E128" s="117">
        <f>HLOOKUP($D$7, 'Data - Breakdown of Economic Co'!$E$74:$G$138, 18, FALSE)</f>
        <v>150</v>
      </c>
      <c r="F128" s="32"/>
      <c r="G128" s="155"/>
      <c r="H128" s="155"/>
      <c r="I128" s="155"/>
      <c r="J128" s="155"/>
      <c r="K128" s="155"/>
      <c r="L128" s="149"/>
      <c r="M128" s="149"/>
      <c r="N128" s="149"/>
      <c r="O128" s="149"/>
      <c r="P128" s="149"/>
      <c r="Q128" s="149"/>
      <c r="R128" s="149"/>
      <c r="S128" s="149"/>
      <c r="T128" s="149"/>
      <c r="U128" s="149"/>
      <c r="V128" s="149"/>
      <c r="W128" s="149"/>
      <c r="X128" s="149"/>
      <c r="Y128" s="149"/>
      <c r="Z128" s="149"/>
      <c r="AA128" s="149"/>
    </row>
    <row r="129" spans="1:27" ht="13" x14ac:dyDescent="0.15">
      <c r="A129" s="149"/>
      <c r="B129" s="8"/>
      <c r="C129" s="258" t="s">
        <v>234</v>
      </c>
      <c r="D129" s="259"/>
      <c r="E129" s="387">
        <f>SUM(E126*E127*E128)</f>
        <v>90.000000000000014</v>
      </c>
      <c r="F129" s="32"/>
      <c r="G129" s="155"/>
      <c r="H129" s="155"/>
      <c r="I129" s="155"/>
      <c r="J129" s="155"/>
      <c r="K129" s="155"/>
      <c r="L129" s="149"/>
      <c r="M129" s="149"/>
      <c r="N129" s="149"/>
      <c r="O129" s="149"/>
      <c r="P129" s="149"/>
      <c r="Q129" s="149"/>
      <c r="R129" s="149"/>
      <c r="S129" s="149"/>
      <c r="T129" s="149"/>
      <c r="U129" s="149"/>
      <c r="V129" s="149"/>
      <c r="W129" s="149"/>
      <c r="X129" s="149"/>
      <c r="Y129" s="149"/>
      <c r="Z129" s="149"/>
      <c r="AA129" s="149"/>
    </row>
    <row r="130" spans="1:27" ht="13" x14ac:dyDescent="0.15">
      <c r="A130" s="149"/>
      <c r="B130" s="8"/>
      <c r="C130" s="258" t="s">
        <v>235</v>
      </c>
      <c r="D130" s="259"/>
      <c r="E130" s="387">
        <f>SUM(E128*E127)</f>
        <v>450</v>
      </c>
      <c r="F130" s="8"/>
      <c r="G130" s="155"/>
      <c r="H130" s="155"/>
      <c r="I130" s="155"/>
      <c r="J130" s="155"/>
      <c r="K130" s="155"/>
      <c r="L130" s="149"/>
      <c r="M130" s="149"/>
      <c r="N130" s="149"/>
      <c r="O130" s="149"/>
      <c r="P130" s="149"/>
      <c r="Q130" s="149"/>
      <c r="R130" s="149"/>
      <c r="S130" s="149"/>
      <c r="T130" s="149"/>
      <c r="U130" s="149"/>
      <c r="V130" s="149"/>
      <c r="W130" s="149"/>
      <c r="X130" s="149"/>
      <c r="Y130" s="149"/>
      <c r="Z130" s="149"/>
      <c r="AA130" s="149"/>
    </row>
    <row r="131" spans="1:27" ht="13" x14ac:dyDescent="0.15">
      <c r="A131" s="149"/>
      <c r="B131" s="8"/>
      <c r="C131" s="267" t="s">
        <v>236</v>
      </c>
      <c r="D131" s="268"/>
      <c r="E131" s="388">
        <f>SUM(E129*E125)</f>
        <v>702000.00000000012</v>
      </c>
      <c r="F131" s="8"/>
      <c r="G131" s="155"/>
      <c r="H131" s="155"/>
      <c r="I131" s="155"/>
      <c r="J131" s="155"/>
      <c r="K131" s="155"/>
      <c r="L131" s="149"/>
      <c r="M131" s="149"/>
      <c r="N131" s="149"/>
      <c r="O131" s="149"/>
      <c r="P131" s="149"/>
      <c r="Q131" s="149"/>
      <c r="R131" s="149"/>
      <c r="S131" s="149"/>
      <c r="T131" s="149"/>
      <c r="U131" s="149"/>
      <c r="V131" s="149"/>
      <c r="W131" s="149"/>
      <c r="X131" s="149"/>
      <c r="Y131" s="149"/>
      <c r="Z131" s="149"/>
      <c r="AA131" s="149"/>
    </row>
    <row r="132" spans="1:27" ht="26.25" customHeight="1" x14ac:dyDescent="0.15">
      <c r="A132" s="149"/>
      <c r="B132" s="8"/>
      <c r="C132" s="255" t="s">
        <v>237</v>
      </c>
      <c r="D132" s="203"/>
      <c r="E132" s="230"/>
      <c r="F132" s="8"/>
      <c r="G132" s="155"/>
      <c r="H132" s="155"/>
      <c r="I132" s="88"/>
      <c r="J132" s="88"/>
      <c r="K132" s="88"/>
      <c r="L132" s="6"/>
      <c r="M132" s="6"/>
      <c r="N132" s="6"/>
      <c r="O132" s="149"/>
      <c r="P132" s="149"/>
      <c r="Q132" s="149"/>
      <c r="R132" s="149"/>
      <c r="S132" s="149"/>
      <c r="T132" s="149"/>
      <c r="U132" s="149"/>
      <c r="V132" s="149"/>
      <c r="W132" s="149"/>
      <c r="X132" s="149"/>
      <c r="Y132" s="149"/>
      <c r="Z132" s="149"/>
      <c r="AA132" s="149"/>
    </row>
    <row r="133" spans="1:27" ht="13" x14ac:dyDescent="0.15">
      <c r="A133" s="149"/>
      <c r="B133" s="8"/>
      <c r="C133" s="247" t="s">
        <v>238</v>
      </c>
      <c r="D133" s="248"/>
      <c r="E133" s="117">
        <f>HLOOKUP($D$7, 'Data - Breakdown of Economic Co'!$E$74:$G$138, 22, FALSE)</f>
        <v>2600</v>
      </c>
      <c r="F133" s="8"/>
      <c r="G133" s="155"/>
      <c r="H133" s="155"/>
      <c r="I133" s="155"/>
      <c r="J133" s="155"/>
      <c r="K133" s="155"/>
      <c r="L133" s="149"/>
      <c r="M133" s="149"/>
      <c r="N133" s="149"/>
      <c r="O133" s="149"/>
      <c r="P133" s="149"/>
      <c r="Q133" s="149"/>
      <c r="R133" s="149"/>
      <c r="S133" s="149"/>
      <c r="T133" s="149"/>
      <c r="U133" s="149"/>
      <c r="V133" s="149"/>
      <c r="W133" s="149"/>
      <c r="X133" s="149"/>
      <c r="Y133" s="149"/>
      <c r="Z133" s="149"/>
      <c r="AA133" s="149"/>
    </row>
    <row r="134" spans="1:27" ht="15.75" customHeight="1" x14ac:dyDescent="0.15">
      <c r="A134" s="149"/>
      <c r="B134" s="8"/>
      <c r="C134" s="262" t="s">
        <v>233</v>
      </c>
      <c r="D134" s="263"/>
      <c r="E134" s="117">
        <f>HLOOKUP($D$7, 'Data - Breakdown of Economic Co'!$E$74:$G$138, 23, FALSE)</f>
        <v>3</v>
      </c>
      <c r="F134" s="8"/>
      <c r="G134" s="155"/>
      <c r="H134" s="155"/>
      <c r="I134" s="155"/>
      <c r="J134" s="155"/>
      <c r="K134" s="155"/>
      <c r="L134" s="149"/>
      <c r="M134" s="149"/>
      <c r="N134" s="149"/>
      <c r="O134" s="149"/>
      <c r="P134" s="149"/>
      <c r="Q134" s="149"/>
      <c r="R134" s="149"/>
      <c r="S134" s="149"/>
      <c r="T134" s="149"/>
      <c r="U134" s="149"/>
      <c r="V134" s="149"/>
      <c r="W134" s="149"/>
      <c r="X134" s="149"/>
      <c r="Y134" s="149"/>
      <c r="Z134" s="149"/>
      <c r="AA134" s="149"/>
    </row>
    <row r="135" spans="1:27" ht="13" x14ac:dyDescent="0.15">
      <c r="A135" s="149"/>
      <c r="B135" s="8"/>
      <c r="C135" s="262" t="s">
        <v>118</v>
      </c>
      <c r="D135" s="263"/>
      <c r="E135" s="117">
        <f>HLOOKUP($D$7, 'Data - Breakdown of Economic Co'!$E$74:$G$138, 24, FALSE)</f>
        <v>7800</v>
      </c>
      <c r="F135" s="8"/>
      <c r="G135" s="155"/>
      <c r="H135" s="155"/>
      <c r="I135" s="155"/>
      <c r="J135" s="155"/>
      <c r="K135" s="155"/>
      <c r="L135" s="149"/>
      <c r="M135" s="149"/>
      <c r="N135" s="149"/>
      <c r="O135" s="149"/>
      <c r="P135" s="149"/>
      <c r="Q135" s="149"/>
      <c r="R135" s="149"/>
      <c r="S135" s="149"/>
      <c r="T135" s="149"/>
      <c r="U135" s="149"/>
      <c r="V135" s="149"/>
      <c r="W135" s="149"/>
      <c r="X135" s="149"/>
      <c r="Y135" s="149"/>
      <c r="Z135" s="149"/>
      <c r="AA135" s="149"/>
    </row>
    <row r="136" spans="1:27" ht="13" x14ac:dyDescent="0.15">
      <c r="A136" s="149"/>
      <c r="B136" s="8"/>
      <c r="C136" s="242" t="s">
        <v>109</v>
      </c>
      <c r="D136" s="243"/>
      <c r="E136" s="376">
        <f>HLOOKUP($D$7, 'Data - Breakdown of Economic Co'!$E$74:$G$138, 25, FALSE)</f>
        <v>0.44</v>
      </c>
      <c r="F136" s="8"/>
      <c r="G136" s="155"/>
      <c r="H136" s="155"/>
      <c r="I136" s="155"/>
      <c r="J136" s="155"/>
      <c r="K136" s="155"/>
      <c r="L136" s="6"/>
      <c r="M136" s="6"/>
      <c r="N136" s="6"/>
      <c r="O136" s="149"/>
      <c r="P136" s="149"/>
      <c r="Q136" s="149"/>
      <c r="R136" s="149"/>
      <c r="S136" s="149"/>
      <c r="T136" s="149"/>
      <c r="U136" s="149"/>
      <c r="V136" s="149"/>
      <c r="W136" s="149"/>
      <c r="X136" s="149"/>
      <c r="Y136" s="149"/>
      <c r="Z136" s="149"/>
      <c r="AA136" s="149"/>
    </row>
    <row r="137" spans="1:27" ht="13" x14ac:dyDescent="0.15">
      <c r="A137" s="149"/>
      <c r="B137" s="8"/>
      <c r="C137" s="242" t="s">
        <v>110</v>
      </c>
      <c r="D137" s="243"/>
      <c r="E137" s="117">
        <f>HLOOKUP($D$7, 'Data - Breakdown of Economic Co'!$E$74:$G$138, 26, FALSE)</f>
        <v>150</v>
      </c>
      <c r="F137" s="8"/>
      <c r="G137" s="155"/>
      <c r="H137" s="155"/>
      <c r="I137" s="155"/>
      <c r="J137" s="155"/>
      <c r="K137" s="155"/>
      <c r="L137" s="149"/>
      <c r="M137" s="149"/>
      <c r="N137" s="149"/>
      <c r="O137" s="149"/>
      <c r="P137" s="149"/>
      <c r="Q137" s="149"/>
      <c r="R137" s="149"/>
      <c r="S137" s="149"/>
      <c r="T137" s="149"/>
      <c r="U137" s="149"/>
      <c r="V137" s="149"/>
      <c r="W137" s="149"/>
      <c r="X137" s="149"/>
      <c r="Y137" s="149"/>
      <c r="Z137" s="149"/>
      <c r="AA137" s="149"/>
    </row>
    <row r="138" spans="1:27" ht="13" x14ac:dyDescent="0.15">
      <c r="A138" s="149"/>
      <c r="B138" s="8"/>
      <c r="C138" s="258" t="s">
        <v>239</v>
      </c>
      <c r="D138" s="259"/>
      <c r="E138" s="383">
        <f>SUM(E137*E136)</f>
        <v>66</v>
      </c>
      <c r="F138" s="8"/>
      <c r="G138" s="155"/>
      <c r="H138" s="155"/>
      <c r="I138" s="155"/>
      <c r="J138" s="155"/>
      <c r="K138" s="155"/>
      <c r="L138" s="149"/>
      <c r="M138" s="149"/>
      <c r="N138" s="149"/>
      <c r="O138" s="149"/>
      <c r="P138" s="149"/>
      <c r="Q138" s="149"/>
      <c r="R138" s="149"/>
      <c r="S138" s="149"/>
      <c r="T138" s="149"/>
      <c r="U138" s="149"/>
      <c r="V138" s="149"/>
      <c r="W138" s="149"/>
      <c r="X138" s="149"/>
      <c r="Y138" s="149"/>
      <c r="Z138" s="149"/>
      <c r="AA138" s="149"/>
    </row>
    <row r="139" spans="1:27" ht="25.5" customHeight="1" x14ac:dyDescent="0.15">
      <c r="A139" s="149"/>
      <c r="B139" s="8"/>
      <c r="C139" s="258" t="s">
        <v>240</v>
      </c>
      <c r="D139" s="259"/>
      <c r="E139" s="383">
        <f>SUM(E137)</f>
        <v>150</v>
      </c>
      <c r="F139" s="8"/>
      <c r="G139" s="155"/>
      <c r="H139" s="155"/>
      <c r="I139" s="155"/>
      <c r="J139" s="155"/>
      <c r="K139" s="155"/>
      <c r="L139" s="149"/>
      <c r="M139" s="149"/>
      <c r="N139" s="149"/>
      <c r="O139" s="149"/>
      <c r="P139" s="149"/>
      <c r="Q139" s="149"/>
      <c r="R139" s="149"/>
      <c r="S139" s="149"/>
      <c r="T139" s="149"/>
      <c r="U139" s="149"/>
      <c r="V139" s="149"/>
      <c r="W139" s="149"/>
      <c r="X139" s="149"/>
      <c r="Y139" s="149"/>
      <c r="Z139" s="149"/>
      <c r="AA139" s="149"/>
    </row>
    <row r="140" spans="1:27" ht="13" x14ac:dyDescent="0.15">
      <c r="A140" s="149"/>
      <c r="B140" s="8"/>
      <c r="C140" s="260" t="s">
        <v>241</v>
      </c>
      <c r="D140" s="261"/>
      <c r="E140" s="384">
        <f>SUM(E138*E135)</f>
        <v>514800</v>
      </c>
      <c r="F140" s="8"/>
      <c r="G140" s="155"/>
      <c r="H140" s="155"/>
      <c r="I140" s="155"/>
      <c r="J140" s="155"/>
      <c r="K140" s="155"/>
      <c r="L140" s="149"/>
      <c r="M140" s="149"/>
      <c r="N140" s="149"/>
      <c r="O140" s="149"/>
      <c r="P140" s="149"/>
      <c r="Q140" s="149"/>
      <c r="R140" s="149"/>
      <c r="S140" s="149"/>
      <c r="T140" s="149"/>
      <c r="U140" s="149"/>
      <c r="V140" s="149"/>
      <c r="W140" s="149"/>
      <c r="X140" s="149"/>
      <c r="Y140" s="149"/>
      <c r="Z140" s="149"/>
      <c r="AA140" s="149"/>
    </row>
    <row r="141" spans="1:27" ht="14" thickBot="1" x14ac:dyDescent="0.2">
      <c r="A141" s="149"/>
      <c r="B141" s="32"/>
      <c r="C141" s="317" t="s">
        <v>242</v>
      </c>
      <c r="D141" s="325"/>
      <c r="E141" s="386">
        <f>SUM(E131+E140)</f>
        <v>1216800</v>
      </c>
      <c r="F141" s="8"/>
      <c r="G141" s="155"/>
      <c r="H141" s="270"/>
      <c r="I141" s="252"/>
      <c r="J141" s="89"/>
      <c r="K141" s="155"/>
      <c r="L141" s="149"/>
      <c r="M141" s="149"/>
      <c r="N141" s="149"/>
      <c r="O141" s="149"/>
      <c r="P141" s="149"/>
      <c r="Q141" s="149"/>
      <c r="R141" s="149"/>
      <c r="S141" s="149"/>
      <c r="T141" s="149"/>
      <c r="U141" s="149"/>
      <c r="V141" s="149"/>
      <c r="W141" s="149"/>
      <c r="X141" s="149"/>
      <c r="Y141" s="149"/>
      <c r="Z141" s="149"/>
      <c r="AA141" s="149"/>
    </row>
    <row r="142" spans="1:27" ht="13" x14ac:dyDescent="0.15">
      <c r="A142" s="149"/>
      <c r="B142" s="32"/>
      <c r="C142" s="112"/>
      <c r="D142" s="112"/>
      <c r="E142" s="32"/>
      <c r="F142" s="8"/>
      <c r="G142" s="155"/>
      <c r="H142" s="251"/>
      <c r="I142" s="252"/>
      <c r="J142" s="252"/>
      <c r="K142" s="85"/>
      <c r="L142" s="149"/>
      <c r="M142" s="149"/>
      <c r="N142" s="149"/>
      <c r="O142" s="149"/>
      <c r="P142" s="149"/>
      <c r="Q142" s="149"/>
      <c r="R142" s="149"/>
      <c r="S142" s="149"/>
      <c r="T142" s="149"/>
      <c r="U142" s="149"/>
      <c r="V142" s="149"/>
      <c r="W142" s="149"/>
      <c r="X142" s="149"/>
      <c r="Y142" s="149"/>
      <c r="Z142" s="149"/>
      <c r="AA142" s="149"/>
    </row>
    <row r="143" spans="1:27" ht="13" x14ac:dyDescent="0.15">
      <c r="A143" s="149"/>
      <c r="B143" s="32"/>
      <c r="C143" s="37" t="s">
        <v>111</v>
      </c>
      <c r="D143" s="22"/>
      <c r="E143" s="23"/>
      <c r="F143" s="8"/>
      <c r="G143" s="155"/>
      <c r="H143" s="253"/>
      <c r="I143" s="252"/>
      <c r="J143" s="90"/>
      <c r="K143" s="91"/>
      <c r="L143" s="149"/>
      <c r="M143" s="149"/>
      <c r="N143" s="149"/>
      <c r="O143" s="149"/>
      <c r="P143" s="149"/>
      <c r="Q143" s="149"/>
      <c r="R143" s="149"/>
      <c r="S143" s="149"/>
      <c r="T143" s="149"/>
      <c r="U143" s="149"/>
      <c r="V143" s="149"/>
      <c r="W143" s="149"/>
      <c r="X143" s="149"/>
      <c r="Y143" s="149"/>
      <c r="Z143" s="149"/>
      <c r="AA143" s="149"/>
    </row>
    <row r="144" spans="1:27" ht="27.75" customHeight="1" x14ac:dyDescent="0.15">
      <c r="A144" s="149"/>
      <c r="B144" s="32"/>
      <c r="C144" s="255" t="s">
        <v>244</v>
      </c>
      <c r="D144" s="203"/>
      <c r="E144" s="230"/>
      <c r="F144" s="8"/>
      <c r="G144" s="155"/>
      <c r="H144" s="155"/>
      <c r="I144" s="88"/>
      <c r="J144" s="88"/>
      <c r="K144" s="88"/>
      <c r="L144" s="149"/>
      <c r="M144" s="149"/>
      <c r="N144" s="149"/>
      <c r="O144" s="149"/>
      <c r="P144" s="149"/>
      <c r="Q144" s="149"/>
      <c r="R144" s="149"/>
      <c r="S144" s="149"/>
      <c r="T144" s="149"/>
      <c r="U144" s="149"/>
      <c r="V144" s="149"/>
      <c r="W144" s="149"/>
      <c r="X144" s="149"/>
      <c r="Y144" s="149"/>
      <c r="Z144" s="149"/>
      <c r="AA144" s="149"/>
    </row>
    <row r="145" spans="1:27" ht="13" x14ac:dyDescent="0.15">
      <c r="A145" s="149"/>
      <c r="B145" s="32"/>
      <c r="C145" s="247" t="s">
        <v>228</v>
      </c>
      <c r="D145" s="248"/>
      <c r="E145" s="113">
        <f>HLOOKUP($D$7, 'Data - Breakdown of Economic Co'!$E$74:$G$138, 30, FALSE)</f>
        <v>2600</v>
      </c>
      <c r="F145" s="8"/>
      <c r="G145" s="155"/>
      <c r="H145" s="155"/>
      <c r="I145" s="155"/>
      <c r="J145" s="155"/>
      <c r="K145" s="155"/>
      <c r="L145" s="149"/>
      <c r="M145" s="149"/>
      <c r="N145" s="149"/>
      <c r="O145" s="149"/>
      <c r="P145" s="149"/>
      <c r="Q145" s="149"/>
      <c r="R145" s="149"/>
      <c r="S145" s="149"/>
      <c r="T145" s="149"/>
      <c r="U145" s="149"/>
      <c r="V145" s="149"/>
      <c r="W145" s="149"/>
      <c r="X145" s="149"/>
      <c r="Y145" s="149"/>
      <c r="Z145" s="149"/>
      <c r="AA145" s="149"/>
    </row>
    <row r="146" spans="1:27" ht="15.75" customHeight="1" x14ac:dyDescent="0.15">
      <c r="A146" s="149"/>
      <c r="B146" s="32"/>
      <c r="C146" s="262" t="s">
        <v>233</v>
      </c>
      <c r="D146" s="263"/>
      <c r="E146" s="113">
        <f>HLOOKUP($D$7, 'Data - Breakdown of Economic Co'!$E$74:$G$138, 31, FALSE)</f>
        <v>3</v>
      </c>
      <c r="F146" s="8"/>
      <c r="G146" s="155"/>
      <c r="H146" s="155"/>
      <c r="I146" s="155"/>
      <c r="J146" s="155"/>
      <c r="K146" s="155"/>
      <c r="L146" s="149"/>
      <c r="M146" s="149"/>
      <c r="N146" s="149"/>
      <c r="O146" s="149"/>
      <c r="P146" s="149"/>
      <c r="Q146" s="149"/>
      <c r="R146" s="149"/>
      <c r="S146" s="149"/>
      <c r="T146" s="149"/>
      <c r="U146" s="149"/>
      <c r="V146" s="149"/>
      <c r="W146" s="149"/>
      <c r="X146" s="149"/>
      <c r="Y146" s="149"/>
      <c r="Z146" s="149"/>
      <c r="AA146" s="149"/>
    </row>
    <row r="147" spans="1:27" ht="13" x14ac:dyDescent="0.15">
      <c r="A147" s="149"/>
      <c r="B147" s="32"/>
      <c r="C147" s="262" t="s">
        <v>99</v>
      </c>
      <c r="D147" s="263"/>
      <c r="E147" s="113">
        <f>HLOOKUP($D$7, 'Data - Breakdown of Economic Co'!$E$74:$G$138, 32, FALSE)</f>
        <v>7800</v>
      </c>
      <c r="F147" s="8"/>
      <c r="G147" s="155"/>
      <c r="H147" s="155"/>
      <c r="I147" s="155"/>
      <c r="J147" s="155"/>
      <c r="K147" s="155"/>
      <c r="L147" s="149"/>
      <c r="M147" s="149"/>
      <c r="N147" s="149"/>
      <c r="O147" s="149"/>
      <c r="P147" s="149"/>
      <c r="Q147" s="149"/>
      <c r="R147" s="149"/>
      <c r="S147" s="149"/>
      <c r="T147" s="149"/>
      <c r="U147" s="149"/>
      <c r="V147" s="149"/>
      <c r="W147" s="149"/>
      <c r="X147" s="149"/>
      <c r="Y147" s="149"/>
      <c r="Z147" s="149"/>
      <c r="AA147" s="149"/>
    </row>
    <row r="148" spans="1:27" ht="13" x14ac:dyDescent="0.15">
      <c r="A148" s="149"/>
      <c r="B148" s="32"/>
      <c r="C148" s="242" t="s">
        <v>112</v>
      </c>
      <c r="D148" s="243"/>
      <c r="E148" s="375">
        <f>HLOOKUP($D$7, 'Data - Breakdown of Economic Co'!$E$74:$G$138, 33, FALSE)</f>
        <v>0.33</v>
      </c>
      <c r="F148" s="8"/>
      <c r="G148" s="155"/>
      <c r="H148" s="155"/>
      <c r="I148" s="155"/>
      <c r="J148" s="155"/>
      <c r="K148" s="155"/>
      <c r="L148" s="149"/>
      <c r="M148" s="149"/>
      <c r="N148" s="149"/>
      <c r="O148" s="149"/>
      <c r="P148" s="149"/>
      <c r="Q148" s="149"/>
      <c r="R148" s="149"/>
      <c r="S148" s="149"/>
      <c r="T148" s="149"/>
      <c r="U148" s="149"/>
      <c r="V148" s="149"/>
      <c r="W148" s="149"/>
      <c r="X148" s="149"/>
      <c r="Y148" s="149"/>
      <c r="Z148" s="149"/>
      <c r="AA148" s="149"/>
    </row>
    <row r="149" spans="1:27" ht="13" x14ac:dyDescent="0.15">
      <c r="A149" s="149"/>
      <c r="B149" s="32"/>
      <c r="C149" s="242" t="s">
        <v>113</v>
      </c>
      <c r="D149" s="243"/>
      <c r="E149" s="113">
        <f>HLOOKUP($D$7, 'Data - Breakdown of Economic Co'!$E$74:$G$138, 34, FALSE)</f>
        <v>4</v>
      </c>
      <c r="F149" s="8"/>
      <c r="G149" s="155"/>
      <c r="H149" s="155"/>
      <c r="I149" s="155"/>
      <c r="J149" s="155"/>
      <c r="K149" s="155"/>
      <c r="L149" s="149"/>
      <c r="M149" s="149"/>
      <c r="N149" s="149"/>
      <c r="O149" s="149"/>
      <c r="P149" s="149"/>
      <c r="Q149" s="149"/>
      <c r="R149" s="149"/>
      <c r="S149" s="149"/>
      <c r="T149" s="149"/>
      <c r="U149" s="149"/>
      <c r="V149" s="149"/>
      <c r="W149" s="149"/>
      <c r="X149" s="149"/>
      <c r="Y149" s="149"/>
      <c r="Z149" s="149"/>
      <c r="AA149" s="149"/>
    </row>
    <row r="150" spans="1:27" ht="13" x14ac:dyDescent="0.15">
      <c r="A150" s="149"/>
      <c r="B150" s="32"/>
      <c r="C150" s="242" t="s">
        <v>114</v>
      </c>
      <c r="D150" s="243"/>
      <c r="E150" s="113">
        <f>HLOOKUP($D$7, 'Data - Breakdown of Economic Co'!$E$74:$G$138, 35, FALSE)</f>
        <v>254</v>
      </c>
      <c r="F150" s="32"/>
      <c r="G150" s="155"/>
      <c r="H150" s="155"/>
      <c r="I150" s="155"/>
      <c r="J150" s="155"/>
      <c r="K150" s="155"/>
      <c r="L150" s="149"/>
      <c r="M150" s="149"/>
      <c r="N150" s="149"/>
      <c r="O150" s="149"/>
      <c r="P150" s="149"/>
      <c r="Q150" s="149"/>
      <c r="R150" s="149"/>
      <c r="S150" s="149"/>
      <c r="T150" s="149"/>
      <c r="U150" s="149"/>
      <c r="V150" s="149"/>
      <c r="W150" s="149"/>
      <c r="X150" s="149"/>
      <c r="Y150" s="149"/>
      <c r="Z150" s="149"/>
      <c r="AA150" s="149"/>
    </row>
    <row r="151" spans="1:27" ht="13" x14ac:dyDescent="0.15">
      <c r="A151" s="149"/>
      <c r="B151" s="32"/>
      <c r="C151" s="132" t="s">
        <v>115</v>
      </c>
      <c r="D151" s="133"/>
      <c r="E151" s="383">
        <f>SUM(E148*E149*E150)</f>
        <v>335.28000000000003</v>
      </c>
      <c r="F151" s="32"/>
      <c r="G151" s="92" t="s">
        <v>40</v>
      </c>
      <c r="H151" s="155"/>
      <c r="I151" s="155"/>
      <c r="J151" s="155"/>
      <c r="K151" s="155"/>
      <c r="L151" s="149"/>
      <c r="M151" s="149"/>
      <c r="N151" s="149"/>
      <c r="O151" s="149"/>
      <c r="P151" s="149"/>
      <c r="Q151" s="149"/>
      <c r="R151" s="149"/>
      <c r="S151" s="149"/>
      <c r="T151" s="149"/>
      <c r="U151" s="149"/>
      <c r="V151" s="149"/>
      <c r="W151" s="149"/>
      <c r="X151" s="149"/>
      <c r="Y151" s="149"/>
      <c r="Z151" s="149"/>
      <c r="AA151" s="149"/>
    </row>
    <row r="152" spans="1:27" ht="25.5" customHeight="1" x14ac:dyDescent="0.15">
      <c r="A152" s="149"/>
      <c r="B152" s="32"/>
      <c r="C152" s="256" t="s">
        <v>116</v>
      </c>
      <c r="D152" s="257"/>
      <c r="E152" s="385">
        <f>SUM(E150*E149)</f>
        <v>1016</v>
      </c>
      <c r="F152" s="32"/>
      <c r="G152" s="155"/>
      <c r="H152" s="155"/>
      <c r="I152" s="155"/>
      <c r="J152" s="155"/>
      <c r="K152" s="155"/>
      <c r="L152" s="149"/>
      <c r="M152" s="149"/>
      <c r="N152" s="149"/>
      <c r="O152" s="149"/>
      <c r="P152" s="149"/>
      <c r="Q152" s="149"/>
      <c r="R152" s="149"/>
      <c r="S152" s="149"/>
      <c r="T152" s="149"/>
      <c r="U152" s="149"/>
      <c r="V152" s="149"/>
      <c r="W152" s="149"/>
      <c r="X152" s="149"/>
      <c r="Y152" s="149"/>
      <c r="Z152" s="149"/>
      <c r="AA152" s="149"/>
    </row>
    <row r="153" spans="1:27" ht="14" thickBot="1" x14ac:dyDescent="0.2">
      <c r="A153" s="149"/>
      <c r="B153" s="32"/>
      <c r="C153" s="321" t="s">
        <v>243</v>
      </c>
      <c r="D153" s="325"/>
      <c r="E153" s="386">
        <f>SUM(E151*E147)</f>
        <v>2615184</v>
      </c>
      <c r="F153" s="32"/>
      <c r="G153" s="155"/>
      <c r="H153" s="155"/>
      <c r="I153" s="155"/>
      <c r="J153" s="155"/>
      <c r="K153" s="155"/>
      <c r="L153" s="149"/>
      <c r="M153" s="149"/>
      <c r="N153" s="149"/>
      <c r="O153" s="149"/>
      <c r="P153" s="149"/>
      <c r="Q153" s="149"/>
      <c r="R153" s="149"/>
      <c r="S153" s="149"/>
      <c r="T153" s="149"/>
      <c r="U153" s="149"/>
      <c r="V153" s="149"/>
      <c r="W153" s="149"/>
      <c r="X153" s="149"/>
      <c r="Y153" s="149"/>
      <c r="Z153" s="149"/>
      <c r="AA153" s="149"/>
    </row>
    <row r="154" spans="1:27" ht="13" x14ac:dyDescent="0.15">
      <c r="A154" s="149"/>
      <c r="B154" s="32"/>
      <c r="C154" s="32"/>
      <c r="D154" s="32"/>
      <c r="E154" s="32"/>
      <c r="F154" s="32"/>
      <c r="G154" s="155"/>
      <c r="H154" s="251"/>
      <c r="I154" s="252"/>
      <c r="J154" s="252"/>
      <c r="K154" s="85"/>
      <c r="L154" s="149"/>
      <c r="M154" s="149"/>
      <c r="N154" s="149"/>
      <c r="O154" s="149"/>
      <c r="P154" s="149"/>
      <c r="Q154" s="149"/>
      <c r="R154" s="149"/>
      <c r="S154" s="149"/>
      <c r="T154" s="149"/>
      <c r="U154" s="149"/>
      <c r="V154" s="149"/>
      <c r="W154" s="149"/>
      <c r="X154" s="149"/>
      <c r="Y154" s="149"/>
      <c r="Z154" s="149"/>
      <c r="AA154" s="149"/>
    </row>
    <row r="155" spans="1:27" ht="13" x14ac:dyDescent="0.15">
      <c r="A155" s="149"/>
      <c r="B155" s="32"/>
      <c r="C155" s="37" t="s">
        <v>117</v>
      </c>
      <c r="D155" s="22"/>
      <c r="E155" s="23"/>
      <c r="F155" s="32"/>
      <c r="G155" s="155"/>
      <c r="H155" s="253"/>
      <c r="I155" s="252"/>
      <c r="J155" s="254"/>
      <c r="K155" s="252"/>
      <c r="L155" s="33"/>
      <c r="M155" s="149"/>
      <c r="N155" s="149"/>
      <c r="O155" s="149"/>
      <c r="P155" s="149"/>
      <c r="Q155" s="149"/>
      <c r="R155" s="149"/>
      <c r="S155" s="149"/>
      <c r="T155" s="149"/>
      <c r="U155" s="149"/>
      <c r="V155" s="149"/>
      <c r="W155" s="149"/>
      <c r="X155" s="149"/>
      <c r="Y155" s="149"/>
      <c r="Z155" s="149"/>
      <c r="AA155" s="149"/>
    </row>
    <row r="156" spans="1:27" ht="28.5" customHeight="1" x14ac:dyDescent="0.15">
      <c r="A156" s="149"/>
      <c r="B156" s="32"/>
      <c r="C156" s="255" t="s">
        <v>245</v>
      </c>
      <c r="D156" s="203"/>
      <c r="E156" s="230"/>
      <c r="F156" s="32"/>
      <c r="G156" s="155"/>
      <c r="H156" s="155"/>
      <c r="I156" s="88"/>
      <c r="J156" s="88"/>
      <c r="K156" s="88"/>
      <c r="L156" s="149"/>
      <c r="M156" s="149"/>
      <c r="N156" s="149"/>
      <c r="O156" s="149"/>
      <c r="P156" s="149"/>
      <c r="Q156" s="149"/>
      <c r="R156" s="149"/>
      <c r="S156" s="149"/>
      <c r="T156" s="149"/>
      <c r="U156" s="149"/>
      <c r="V156" s="149"/>
      <c r="W156" s="149"/>
      <c r="X156" s="149"/>
      <c r="Y156" s="149"/>
      <c r="Z156" s="149"/>
      <c r="AA156" s="149"/>
    </row>
    <row r="157" spans="1:27" ht="13" x14ac:dyDescent="0.15">
      <c r="A157" s="149"/>
      <c r="B157" s="32"/>
      <c r="C157" s="247" t="s">
        <v>228</v>
      </c>
      <c r="D157" s="248"/>
      <c r="E157" s="113">
        <f>HLOOKUP($D$7, 'Data - Breakdown of Economic Co'!$E$74:$G$138, 39, FALSE)</f>
        <v>2600</v>
      </c>
      <c r="F157" s="32"/>
      <c r="G157" s="155"/>
      <c r="H157" s="155"/>
      <c r="I157" s="155"/>
      <c r="J157" s="155"/>
      <c r="K157" s="155"/>
      <c r="L157" s="149"/>
      <c r="M157" s="149"/>
      <c r="N157" s="149"/>
      <c r="O157" s="149"/>
      <c r="P157" s="149"/>
      <c r="Q157" s="149"/>
      <c r="R157" s="149"/>
      <c r="S157" s="149"/>
      <c r="T157" s="149"/>
      <c r="U157" s="149"/>
      <c r="V157" s="149"/>
      <c r="W157" s="149"/>
      <c r="X157" s="149"/>
      <c r="Y157" s="149"/>
      <c r="Z157" s="149"/>
      <c r="AA157" s="149"/>
    </row>
    <row r="158" spans="1:27" ht="13" x14ac:dyDescent="0.15">
      <c r="A158" s="149"/>
      <c r="B158" s="32"/>
      <c r="C158" s="242" t="s">
        <v>246</v>
      </c>
      <c r="D158" s="243"/>
      <c r="E158" s="113">
        <f>HLOOKUP($D$7, 'Data - Breakdown of Economic Co'!$E$74:$G$138, 40, FALSE)</f>
        <v>9</v>
      </c>
      <c r="F158" s="34"/>
      <c r="G158" s="92" t="s">
        <v>40</v>
      </c>
      <c r="H158" s="155"/>
      <c r="I158" s="155"/>
      <c r="J158" s="155"/>
      <c r="K158" s="155"/>
      <c r="L158" s="149"/>
      <c r="M158" s="149"/>
      <c r="N158" s="149"/>
      <c r="O158" s="149"/>
      <c r="P158" s="149"/>
      <c r="Q158" s="149"/>
      <c r="R158" s="149"/>
      <c r="S158" s="149"/>
      <c r="T158" s="149"/>
      <c r="U158" s="149"/>
      <c r="V158" s="149"/>
      <c r="W158" s="149"/>
      <c r="X158" s="149"/>
      <c r="Y158" s="149"/>
      <c r="Z158" s="149"/>
      <c r="AA158" s="149"/>
    </row>
    <row r="159" spans="1:27" ht="13" x14ac:dyDescent="0.15">
      <c r="A159" s="149"/>
      <c r="B159" s="32"/>
      <c r="C159" s="242" t="s">
        <v>118</v>
      </c>
      <c r="D159" s="243"/>
      <c r="E159" s="113">
        <f>HLOOKUP($D$7, 'Data - Breakdown of Economic Co'!$E$74:$G$138, 41, FALSE)</f>
        <v>23400</v>
      </c>
      <c r="F159" s="32"/>
      <c r="G159" s="155"/>
      <c r="H159" s="155"/>
      <c r="I159" s="155"/>
      <c r="J159" s="155"/>
      <c r="K159" s="155"/>
      <c r="L159" s="149"/>
      <c r="M159" s="149"/>
      <c r="N159" s="149"/>
      <c r="O159" s="149"/>
      <c r="P159" s="149"/>
      <c r="Q159" s="149"/>
      <c r="R159" s="149"/>
      <c r="S159" s="149"/>
      <c r="T159" s="149"/>
      <c r="U159" s="149"/>
      <c r="V159" s="149"/>
      <c r="W159" s="149"/>
      <c r="X159" s="149"/>
      <c r="Y159" s="149"/>
      <c r="Z159" s="149"/>
      <c r="AA159" s="149"/>
    </row>
    <row r="160" spans="1:27" ht="13" x14ac:dyDescent="0.15">
      <c r="A160" s="149"/>
      <c r="B160" s="32"/>
      <c r="C160" s="242" t="s">
        <v>119</v>
      </c>
      <c r="D160" s="243"/>
      <c r="E160" s="375">
        <f>HLOOKUP($D$7, 'Data - Breakdown of Economic Co'!$E$74:$G$138, 42, FALSE)</f>
        <v>0.27</v>
      </c>
      <c r="F160" s="32"/>
      <c r="G160" s="155"/>
      <c r="H160" s="155"/>
      <c r="I160" s="155"/>
      <c r="J160" s="155"/>
      <c r="K160" s="155"/>
      <c r="L160" s="149"/>
      <c r="M160" s="149"/>
      <c r="N160" s="149"/>
      <c r="O160" s="149"/>
      <c r="P160" s="149"/>
      <c r="Q160" s="149"/>
      <c r="R160" s="149"/>
      <c r="S160" s="149"/>
      <c r="T160" s="149"/>
      <c r="U160" s="149"/>
      <c r="V160" s="149"/>
      <c r="W160" s="149"/>
      <c r="X160" s="149"/>
      <c r="Y160" s="149"/>
      <c r="Z160" s="149"/>
      <c r="AA160" s="149"/>
    </row>
    <row r="161" spans="1:27" ht="13" x14ac:dyDescent="0.15">
      <c r="A161" s="149"/>
      <c r="B161" s="32"/>
      <c r="C161" s="242" t="s">
        <v>120</v>
      </c>
      <c r="D161" s="243"/>
      <c r="E161" s="375">
        <f>HLOOKUP($D$7, 'Data - Breakdown of Economic Co'!$E$74:$G$138, 43, FALSE)</f>
        <v>0.34</v>
      </c>
      <c r="F161" s="32"/>
      <c r="G161" s="155"/>
      <c r="H161" s="155"/>
      <c r="I161" s="155"/>
      <c r="J161" s="155"/>
      <c r="K161" s="155"/>
      <c r="L161" s="149"/>
      <c r="M161" s="149"/>
      <c r="N161" s="149"/>
      <c r="O161" s="149"/>
      <c r="P161" s="149"/>
      <c r="Q161" s="149"/>
      <c r="R161" s="149"/>
      <c r="S161" s="149"/>
      <c r="T161" s="149"/>
      <c r="U161" s="149"/>
      <c r="V161" s="149"/>
      <c r="W161" s="149"/>
      <c r="X161" s="149"/>
      <c r="Y161" s="149"/>
      <c r="Z161" s="149"/>
      <c r="AA161" s="149"/>
    </row>
    <row r="162" spans="1:27" ht="13" x14ac:dyDescent="0.15">
      <c r="A162" s="149"/>
      <c r="B162" s="32"/>
      <c r="C162" s="242" t="s">
        <v>121</v>
      </c>
      <c r="D162" s="243"/>
      <c r="E162" s="113">
        <f>HLOOKUP($D$7, 'Data - Breakdown of Economic Co'!$E$74:$G$138, 44, FALSE)</f>
        <v>1.5</v>
      </c>
      <c r="F162" s="32"/>
      <c r="G162" s="155"/>
      <c r="H162" s="93"/>
      <c r="I162" s="155"/>
      <c r="J162" s="155"/>
      <c r="K162" s="155"/>
      <c r="L162" s="149"/>
      <c r="M162" s="149"/>
      <c r="N162" s="149"/>
      <c r="O162" s="149"/>
      <c r="P162" s="149"/>
      <c r="Q162" s="149"/>
      <c r="R162" s="149"/>
      <c r="S162" s="149"/>
      <c r="T162" s="149"/>
      <c r="U162" s="149"/>
      <c r="V162" s="149"/>
      <c r="W162" s="149"/>
      <c r="X162" s="149"/>
      <c r="Y162" s="149"/>
      <c r="Z162" s="149"/>
      <c r="AA162" s="149"/>
    </row>
    <row r="163" spans="1:27" ht="13" x14ac:dyDescent="0.15">
      <c r="A163" s="149"/>
      <c r="B163" s="32"/>
      <c r="C163" s="242" t="s">
        <v>122</v>
      </c>
      <c r="D163" s="243"/>
      <c r="E163" s="113">
        <f>HLOOKUP($D$7, 'Data - Breakdown of Economic Co'!$E$74:$G$138, 45, FALSE)</f>
        <v>240</v>
      </c>
      <c r="F163" s="32"/>
      <c r="G163" s="155"/>
      <c r="H163" s="155"/>
      <c r="I163" s="155"/>
      <c r="J163" s="155"/>
      <c r="K163" s="155"/>
      <c r="L163" s="149"/>
      <c r="M163" s="149"/>
      <c r="N163" s="149"/>
      <c r="O163" s="149"/>
      <c r="P163" s="149"/>
      <c r="Q163" s="149"/>
      <c r="R163" s="149"/>
      <c r="S163" s="149"/>
      <c r="T163" s="149"/>
      <c r="U163" s="149"/>
      <c r="V163" s="149"/>
      <c r="W163" s="149"/>
      <c r="X163" s="149"/>
      <c r="Y163" s="149"/>
      <c r="Z163" s="149"/>
      <c r="AA163" s="149"/>
    </row>
    <row r="164" spans="1:27" ht="13" x14ac:dyDescent="0.15">
      <c r="A164" s="149"/>
      <c r="B164" s="32"/>
      <c r="C164" s="258" t="s">
        <v>123</v>
      </c>
      <c r="D164" s="259"/>
      <c r="E164" s="383">
        <f>SUM(E160*E161*E162*E163)</f>
        <v>33.048000000000002</v>
      </c>
      <c r="F164" s="32"/>
      <c r="G164" s="155"/>
      <c r="H164" s="155"/>
      <c r="I164" s="155"/>
      <c r="J164" s="155"/>
      <c r="K164" s="155"/>
      <c r="L164" s="149"/>
      <c r="M164" s="149"/>
      <c r="N164" s="149"/>
      <c r="O164" s="149"/>
      <c r="P164" s="149"/>
      <c r="Q164" s="149"/>
      <c r="R164" s="149"/>
      <c r="S164" s="149"/>
      <c r="T164" s="149"/>
      <c r="U164" s="149"/>
      <c r="V164" s="149"/>
      <c r="W164" s="149"/>
      <c r="X164" s="149"/>
      <c r="Y164" s="149"/>
      <c r="Z164" s="149"/>
      <c r="AA164" s="149"/>
    </row>
    <row r="165" spans="1:27" ht="13" x14ac:dyDescent="0.15">
      <c r="A165" s="149"/>
      <c r="B165" s="32"/>
      <c r="C165" s="258" t="s">
        <v>124</v>
      </c>
      <c r="D165" s="259"/>
      <c r="E165" s="383">
        <f>SUM(E163*E162*E161)</f>
        <v>122.4</v>
      </c>
      <c r="F165" s="32"/>
      <c r="G165" s="155"/>
      <c r="H165" s="155"/>
      <c r="I165" s="155"/>
      <c r="J165" s="155"/>
      <c r="K165" s="155"/>
      <c r="L165" s="149"/>
      <c r="M165" s="149"/>
      <c r="N165" s="149"/>
      <c r="O165" s="149"/>
      <c r="P165" s="149"/>
      <c r="Q165" s="149"/>
      <c r="R165" s="149"/>
      <c r="S165" s="149"/>
      <c r="T165" s="149"/>
      <c r="U165" s="149"/>
      <c r="V165" s="149"/>
      <c r="W165" s="149"/>
      <c r="X165" s="149"/>
      <c r="Y165" s="149"/>
      <c r="Z165" s="149"/>
      <c r="AA165" s="149"/>
    </row>
    <row r="166" spans="1:27" ht="13" x14ac:dyDescent="0.15">
      <c r="A166" s="149"/>
      <c r="B166" s="32"/>
      <c r="C166" s="258" t="s">
        <v>247</v>
      </c>
      <c r="D166" s="259"/>
      <c r="E166" s="383">
        <f>SUM(E164*E159)</f>
        <v>773323.20000000007</v>
      </c>
      <c r="F166" s="32"/>
      <c r="G166" s="155"/>
      <c r="H166" s="155"/>
      <c r="I166" s="155"/>
      <c r="J166" s="155"/>
      <c r="K166" s="155"/>
      <c r="L166" s="149"/>
      <c r="M166" s="149"/>
      <c r="N166" s="149"/>
      <c r="O166" s="149"/>
      <c r="P166" s="149"/>
      <c r="Q166" s="149"/>
      <c r="R166" s="149"/>
      <c r="S166" s="149"/>
      <c r="T166" s="149"/>
      <c r="U166" s="149"/>
      <c r="V166" s="149"/>
      <c r="W166" s="149"/>
      <c r="X166" s="149"/>
      <c r="Y166" s="149"/>
      <c r="Z166" s="149"/>
      <c r="AA166" s="149"/>
    </row>
    <row r="167" spans="1:27" ht="28" customHeight="1" x14ac:dyDescent="0.15">
      <c r="A167" s="35"/>
      <c r="B167" s="32"/>
      <c r="C167" s="255" t="s">
        <v>248</v>
      </c>
      <c r="D167" s="203"/>
      <c r="E167" s="230"/>
      <c r="F167" s="32"/>
      <c r="G167" s="155"/>
      <c r="H167" s="155"/>
      <c r="I167" s="88"/>
      <c r="J167" s="88"/>
      <c r="K167" s="88"/>
      <c r="L167" s="149"/>
      <c r="M167" s="149"/>
      <c r="N167" s="149"/>
      <c r="O167" s="149"/>
      <c r="P167" s="149"/>
      <c r="Q167" s="149"/>
      <c r="R167" s="149"/>
      <c r="S167" s="149"/>
      <c r="T167" s="149"/>
      <c r="U167" s="149"/>
      <c r="V167" s="149"/>
      <c r="W167" s="149"/>
      <c r="X167" s="149"/>
      <c r="Y167" s="149"/>
      <c r="Z167" s="149"/>
      <c r="AA167" s="149"/>
    </row>
    <row r="168" spans="1:27" ht="13" x14ac:dyDescent="0.15">
      <c r="A168" s="35"/>
      <c r="B168" s="32"/>
      <c r="C168" s="247" t="s">
        <v>238</v>
      </c>
      <c r="D168" s="248"/>
      <c r="E168" s="113">
        <f>HLOOKUP($D$7, 'Data - Breakdown of Economic Co'!$E$74:$G$138, 49, FALSE)</f>
        <v>2600</v>
      </c>
      <c r="F168" s="32"/>
      <c r="G168" s="155"/>
      <c r="H168" s="155"/>
      <c r="I168" s="155"/>
      <c r="J168" s="155"/>
      <c r="K168" s="155"/>
      <c r="L168" s="149"/>
      <c r="M168" s="149"/>
      <c r="N168" s="149"/>
      <c r="O168" s="149"/>
      <c r="P168" s="149"/>
      <c r="Q168" s="149"/>
      <c r="R168" s="149"/>
      <c r="S168" s="149"/>
      <c r="T168" s="149"/>
      <c r="U168" s="149"/>
      <c r="V168" s="149"/>
      <c r="W168" s="149"/>
      <c r="X168" s="149"/>
      <c r="Y168" s="149"/>
      <c r="Z168" s="149"/>
      <c r="AA168" s="149"/>
    </row>
    <row r="169" spans="1:27" ht="13" x14ac:dyDescent="0.15">
      <c r="A169" s="35"/>
      <c r="B169" s="32"/>
      <c r="C169" s="242" t="s">
        <v>246</v>
      </c>
      <c r="D169" s="243"/>
      <c r="E169" s="113">
        <f>HLOOKUP($D$7, 'Data - Breakdown of Economic Co'!$E$74:$G$138, 50, FALSE)</f>
        <v>9</v>
      </c>
      <c r="F169" s="32"/>
      <c r="G169" s="155"/>
      <c r="H169" s="155"/>
      <c r="I169" s="155"/>
      <c r="J169" s="155"/>
      <c r="K169" s="155"/>
      <c r="L169" s="149"/>
      <c r="M169" s="149"/>
      <c r="N169" s="149"/>
      <c r="O169" s="149"/>
      <c r="P169" s="149"/>
      <c r="Q169" s="149"/>
      <c r="R169" s="149"/>
      <c r="S169" s="149"/>
      <c r="T169" s="149"/>
      <c r="U169" s="149"/>
      <c r="V169" s="149"/>
      <c r="W169" s="149"/>
      <c r="X169" s="149"/>
      <c r="Y169" s="149"/>
      <c r="Z169" s="149"/>
      <c r="AA169" s="149"/>
    </row>
    <row r="170" spans="1:27" ht="13" x14ac:dyDescent="0.15">
      <c r="A170" s="35"/>
      <c r="B170" s="32"/>
      <c r="C170" s="242" t="s">
        <v>118</v>
      </c>
      <c r="D170" s="243"/>
      <c r="E170" s="113">
        <f>HLOOKUP($D$7, 'Data - Breakdown of Economic Co'!$E$74:$G$138, 51, FALSE)</f>
        <v>23400</v>
      </c>
      <c r="F170" s="32"/>
      <c r="G170" s="155"/>
      <c r="H170" s="155"/>
      <c r="I170" s="155"/>
      <c r="J170" s="155"/>
      <c r="K170" s="155"/>
      <c r="L170" s="149"/>
      <c r="M170" s="149"/>
      <c r="N170" s="149"/>
      <c r="O170" s="149"/>
      <c r="P170" s="149"/>
      <c r="Q170" s="149"/>
      <c r="R170" s="149"/>
      <c r="S170" s="149"/>
      <c r="T170" s="149"/>
      <c r="U170" s="149"/>
      <c r="V170" s="149"/>
      <c r="W170" s="149"/>
      <c r="X170" s="149"/>
      <c r="Y170" s="149"/>
      <c r="Z170" s="149"/>
      <c r="AA170" s="149"/>
    </row>
    <row r="171" spans="1:27" ht="13" x14ac:dyDescent="0.15">
      <c r="A171" s="35"/>
      <c r="B171" s="32"/>
      <c r="C171" s="242" t="s">
        <v>125</v>
      </c>
      <c r="D171" s="243"/>
      <c r="E171" s="375">
        <f>HLOOKUP($D$7, 'Data - Breakdown of Economic Co'!$E$74:$G$138, 52, FALSE)</f>
        <v>0.30940000000000001</v>
      </c>
      <c r="F171" s="32"/>
      <c r="G171" s="155"/>
      <c r="H171" s="155"/>
      <c r="I171" s="155"/>
      <c r="J171" s="155"/>
      <c r="K171" s="155"/>
      <c r="L171" s="149"/>
      <c r="M171" s="149"/>
      <c r="N171" s="149"/>
      <c r="O171" s="149"/>
      <c r="P171" s="149"/>
      <c r="Q171" s="149"/>
      <c r="R171" s="149"/>
      <c r="S171" s="149"/>
      <c r="T171" s="149"/>
      <c r="U171" s="149"/>
      <c r="V171" s="149"/>
      <c r="W171" s="149"/>
      <c r="X171" s="149"/>
      <c r="Y171" s="149"/>
      <c r="Z171" s="149"/>
      <c r="AA171" s="149"/>
    </row>
    <row r="172" spans="1:27" ht="13" x14ac:dyDescent="0.15">
      <c r="A172" s="35"/>
      <c r="B172" s="32"/>
      <c r="C172" s="242" t="s">
        <v>126</v>
      </c>
      <c r="D172" s="243"/>
      <c r="E172" s="113">
        <f>HLOOKUP($D$7, 'Data - Breakdown of Economic Co'!$E$74:$G$138, 53, FALSE)</f>
        <v>406</v>
      </c>
      <c r="F172" s="36"/>
      <c r="G172" s="155"/>
      <c r="H172" s="155"/>
      <c r="I172" s="155"/>
      <c r="J172" s="155"/>
      <c r="K172" s="155"/>
      <c r="L172" s="149"/>
      <c r="M172" s="149"/>
      <c r="N172" s="149"/>
      <c r="O172" s="149"/>
      <c r="P172" s="149"/>
      <c r="Q172" s="149"/>
      <c r="R172" s="149"/>
      <c r="S172" s="149"/>
      <c r="T172" s="149"/>
      <c r="U172" s="149"/>
      <c r="V172" s="149"/>
      <c r="W172" s="149"/>
      <c r="X172" s="149"/>
      <c r="Y172" s="149"/>
      <c r="Z172" s="149"/>
      <c r="AA172" s="149"/>
    </row>
    <row r="173" spans="1:27" ht="13.5" customHeight="1" x14ac:dyDescent="0.15">
      <c r="A173" s="35"/>
      <c r="B173" s="32"/>
      <c r="C173" s="258" t="s">
        <v>127</v>
      </c>
      <c r="D173" s="259"/>
      <c r="E173" s="383">
        <f>SUM(E171*E172)</f>
        <v>125.6164</v>
      </c>
      <c r="F173" s="32"/>
      <c r="G173" s="155"/>
      <c r="H173" s="155"/>
      <c r="I173" s="155"/>
      <c r="J173" s="155"/>
      <c r="K173" s="155"/>
      <c r="L173" s="149"/>
      <c r="M173" s="149"/>
      <c r="N173" s="149"/>
      <c r="O173" s="149"/>
      <c r="P173" s="149"/>
      <c r="Q173" s="149"/>
      <c r="R173" s="149"/>
      <c r="S173" s="149"/>
      <c r="T173" s="149"/>
      <c r="U173" s="149"/>
      <c r="V173" s="149"/>
      <c r="W173" s="149"/>
      <c r="X173" s="149"/>
      <c r="Y173" s="149"/>
      <c r="Z173" s="149"/>
      <c r="AA173" s="149"/>
    </row>
    <row r="174" spans="1:27" ht="25.5" customHeight="1" x14ac:dyDescent="0.15">
      <c r="A174" s="35"/>
      <c r="B174" s="32"/>
      <c r="C174" s="258" t="s">
        <v>128</v>
      </c>
      <c r="D174" s="259"/>
      <c r="E174" s="383">
        <f>SUM(E172)</f>
        <v>406</v>
      </c>
      <c r="F174" s="32"/>
      <c r="G174" s="155"/>
      <c r="H174" s="155"/>
      <c r="I174" s="155"/>
      <c r="J174" s="155"/>
      <c r="K174" s="155"/>
      <c r="L174" s="149"/>
      <c r="M174" s="149"/>
      <c r="N174" s="149"/>
      <c r="O174" s="149"/>
      <c r="P174" s="149"/>
      <c r="Q174" s="149"/>
      <c r="R174" s="149"/>
      <c r="S174" s="149"/>
      <c r="T174" s="149"/>
      <c r="U174" s="149"/>
      <c r="V174" s="149"/>
      <c r="W174" s="149"/>
      <c r="X174" s="149"/>
      <c r="Y174" s="149"/>
      <c r="Z174" s="149"/>
      <c r="AA174" s="149"/>
    </row>
    <row r="175" spans="1:27" ht="13" x14ac:dyDescent="0.15">
      <c r="A175" s="35"/>
      <c r="B175" s="32"/>
      <c r="C175" s="260" t="s">
        <v>249</v>
      </c>
      <c r="D175" s="261"/>
      <c r="E175" s="384">
        <f>SUM(E173*E170)</f>
        <v>2939423.76</v>
      </c>
      <c r="F175" s="32"/>
      <c r="G175" s="155"/>
      <c r="H175" s="155"/>
      <c r="I175" s="155"/>
      <c r="J175" s="155"/>
      <c r="K175" s="155"/>
      <c r="L175" s="149"/>
      <c r="M175" s="149"/>
      <c r="N175" s="149"/>
      <c r="O175" s="149"/>
      <c r="P175" s="149"/>
      <c r="Q175" s="149"/>
      <c r="R175" s="149"/>
      <c r="S175" s="149"/>
      <c r="T175" s="149"/>
      <c r="U175" s="149"/>
      <c r="V175" s="149"/>
      <c r="W175" s="149"/>
      <c r="X175" s="149"/>
      <c r="Y175" s="149"/>
      <c r="Z175" s="149"/>
      <c r="AA175" s="149"/>
    </row>
    <row r="176" spans="1:27" ht="14" thickBot="1" x14ac:dyDescent="0.2">
      <c r="A176" s="35"/>
      <c r="B176" s="32"/>
      <c r="C176" s="317" t="s">
        <v>250</v>
      </c>
      <c r="D176" s="325"/>
      <c r="E176" s="379">
        <f>SUM(E166+E175)</f>
        <v>3712746.96</v>
      </c>
      <c r="F176" s="32"/>
      <c r="G176" s="155"/>
      <c r="H176" s="155"/>
      <c r="I176" s="155"/>
      <c r="J176" s="155"/>
      <c r="K176" s="155"/>
      <c r="L176" s="149"/>
      <c r="M176" s="149"/>
      <c r="N176" s="149"/>
      <c r="O176" s="149"/>
      <c r="P176" s="149"/>
      <c r="Q176" s="149"/>
      <c r="R176" s="149"/>
      <c r="S176" s="149"/>
      <c r="T176" s="149"/>
      <c r="U176" s="149"/>
      <c r="V176" s="149"/>
      <c r="W176" s="149"/>
      <c r="X176" s="149"/>
      <c r="Y176" s="149"/>
      <c r="Z176" s="149"/>
      <c r="AA176" s="149"/>
    </row>
    <row r="177" spans="1:27" ht="13" x14ac:dyDescent="0.15">
      <c r="A177" s="35"/>
      <c r="B177" s="32"/>
      <c r="C177" s="32"/>
      <c r="D177" s="32"/>
      <c r="E177" s="32"/>
      <c r="F177" s="32"/>
      <c r="G177" s="155"/>
      <c r="H177" s="155"/>
      <c r="I177" s="155"/>
      <c r="J177" s="155"/>
      <c r="K177" s="155"/>
      <c r="L177" s="149"/>
      <c r="M177" s="149"/>
      <c r="N177" s="149"/>
      <c r="O177" s="149"/>
      <c r="P177" s="149"/>
      <c r="Q177" s="149"/>
      <c r="R177" s="149"/>
      <c r="S177" s="149"/>
      <c r="T177" s="149"/>
      <c r="U177" s="149"/>
      <c r="V177" s="149"/>
      <c r="W177" s="149"/>
      <c r="X177" s="149"/>
      <c r="Y177" s="149"/>
      <c r="Z177" s="149"/>
      <c r="AA177" s="149"/>
    </row>
    <row r="178" spans="1:27" ht="13" x14ac:dyDescent="0.15">
      <c r="A178" s="35"/>
      <c r="B178" s="32"/>
      <c r="C178" s="37" t="s">
        <v>129</v>
      </c>
      <c r="D178" s="38"/>
      <c r="E178" s="39"/>
      <c r="F178" s="32"/>
      <c r="G178" s="155"/>
      <c r="H178" s="155"/>
      <c r="I178" s="155"/>
      <c r="J178" s="155"/>
      <c r="K178" s="155"/>
      <c r="L178" s="149"/>
      <c r="M178" s="149"/>
      <c r="N178" s="149"/>
      <c r="O178" s="149"/>
      <c r="P178" s="149"/>
      <c r="Q178" s="149"/>
      <c r="R178" s="149"/>
      <c r="S178" s="149"/>
      <c r="T178" s="149"/>
      <c r="U178" s="149"/>
      <c r="V178" s="149"/>
      <c r="W178" s="149"/>
      <c r="X178" s="149"/>
      <c r="Y178" s="149"/>
      <c r="Z178" s="149"/>
      <c r="AA178" s="149"/>
    </row>
    <row r="179" spans="1:27" ht="29.25" customHeight="1" x14ac:dyDescent="0.15">
      <c r="A179" s="35"/>
      <c r="B179" s="32"/>
      <c r="C179" s="255" t="s">
        <v>251</v>
      </c>
      <c r="D179" s="203"/>
      <c r="E179" s="230"/>
      <c r="F179" s="32"/>
      <c r="G179" s="155"/>
      <c r="H179" s="155"/>
      <c r="I179" s="88"/>
      <c r="J179" s="88"/>
      <c r="K179" s="88"/>
      <c r="L179" s="149"/>
      <c r="M179" s="149"/>
      <c r="N179" s="149"/>
      <c r="O179" s="149"/>
      <c r="P179" s="149"/>
      <c r="Q179" s="149"/>
      <c r="R179" s="149"/>
      <c r="S179" s="149"/>
      <c r="T179" s="149"/>
      <c r="U179" s="149"/>
      <c r="V179" s="149"/>
      <c r="W179" s="149"/>
      <c r="X179" s="149"/>
      <c r="Y179" s="149"/>
      <c r="Z179" s="149"/>
      <c r="AA179" s="149"/>
    </row>
    <row r="180" spans="1:27" ht="13" x14ac:dyDescent="0.15">
      <c r="A180" s="35"/>
      <c r="B180" s="32"/>
      <c r="C180" s="247" t="s">
        <v>252</v>
      </c>
      <c r="D180" s="248"/>
      <c r="E180" s="113">
        <f>HLOOKUP($D$7, 'Data - Breakdown of Economic Co'!$E$74:$G$138, 57, FALSE)</f>
        <v>2600</v>
      </c>
      <c r="F180" s="32"/>
      <c r="G180" s="155"/>
      <c r="H180" s="155"/>
      <c r="I180" s="155"/>
      <c r="J180" s="155"/>
      <c r="K180" s="155"/>
      <c r="L180" s="149"/>
      <c r="M180" s="149"/>
      <c r="N180" s="149"/>
      <c r="O180" s="149"/>
      <c r="P180" s="149"/>
      <c r="Q180" s="149"/>
      <c r="R180" s="149"/>
      <c r="S180" s="149"/>
      <c r="T180" s="149"/>
      <c r="U180" s="149"/>
      <c r="V180" s="149"/>
      <c r="W180" s="149"/>
      <c r="X180" s="149"/>
      <c r="Y180" s="149"/>
      <c r="Z180" s="149"/>
      <c r="AA180" s="149"/>
    </row>
    <row r="181" spans="1:27" ht="15.75" customHeight="1" x14ac:dyDescent="0.15">
      <c r="A181" s="35"/>
      <c r="B181" s="32"/>
      <c r="C181" s="262" t="s">
        <v>233</v>
      </c>
      <c r="D181" s="263"/>
      <c r="E181" s="113">
        <f>HLOOKUP($D$7, 'Data - Breakdown of Economic Co'!$E$74:$G$138, 58, FALSE)</f>
        <v>3</v>
      </c>
      <c r="F181" s="32"/>
      <c r="G181" s="155"/>
      <c r="H181" s="155"/>
      <c r="I181" s="155"/>
      <c r="J181" s="155"/>
      <c r="K181" s="155"/>
      <c r="L181" s="149"/>
      <c r="M181" s="149"/>
      <c r="N181" s="149"/>
      <c r="O181" s="149"/>
      <c r="P181" s="149"/>
      <c r="Q181" s="149"/>
      <c r="R181" s="149"/>
      <c r="S181" s="149"/>
      <c r="T181" s="149"/>
      <c r="U181" s="149"/>
      <c r="V181" s="149"/>
      <c r="W181" s="149"/>
      <c r="X181" s="149"/>
      <c r="Y181" s="149"/>
      <c r="Z181" s="149"/>
      <c r="AA181" s="149"/>
    </row>
    <row r="182" spans="1:27" ht="13" x14ac:dyDescent="0.15">
      <c r="A182" s="35"/>
      <c r="B182" s="32"/>
      <c r="C182" s="262" t="s">
        <v>130</v>
      </c>
      <c r="D182" s="263"/>
      <c r="E182" s="113">
        <f>HLOOKUP($D$7, 'Data - Breakdown of Economic Co'!$E$74:$G$138, 59, FALSE)</f>
        <v>7800</v>
      </c>
      <c r="F182" s="32"/>
      <c r="G182" s="155"/>
      <c r="H182" s="155"/>
      <c r="I182" s="155"/>
      <c r="J182" s="155"/>
      <c r="K182" s="155"/>
      <c r="L182" s="149"/>
      <c r="M182" s="149"/>
      <c r="N182" s="149"/>
      <c r="O182" s="149"/>
      <c r="P182" s="149"/>
      <c r="Q182" s="149"/>
      <c r="R182" s="149"/>
      <c r="S182" s="149"/>
      <c r="T182" s="149"/>
      <c r="U182" s="149"/>
      <c r="V182" s="149"/>
      <c r="W182" s="149"/>
      <c r="X182" s="149"/>
      <c r="Y182" s="149"/>
      <c r="Z182" s="149"/>
      <c r="AA182" s="149"/>
    </row>
    <row r="183" spans="1:27" ht="13" x14ac:dyDescent="0.15">
      <c r="A183" s="35"/>
      <c r="B183" s="32"/>
      <c r="C183" s="242" t="s">
        <v>131</v>
      </c>
      <c r="D183" s="243"/>
      <c r="E183" s="375">
        <f>HLOOKUP($D$7, 'Data - Breakdown of Economic Co'!$E$74:$G$138, 60, FALSE)</f>
        <v>4.8149999999999998E-2</v>
      </c>
      <c r="F183" s="32"/>
      <c r="G183" s="105"/>
      <c r="H183" s="47"/>
      <c r="I183" s="155"/>
      <c r="J183" s="155"/>
      <c r="K183" s="155"/>
      <c r="L183" s="149"/>
      <c r="M183" s="149"/>
      <c r="N183" s="149"/>
      <c r="O183" s="149"/>
      <c r="P183" s="149"/>
      <c r="Q183" s="149"/>
      <c r="R183" s="149"/>
      <c r="S183" s="149"/>
      <c r="T183" s="149"/>
      <c r="U183" s="149"/>
      <c r="V183" s="149"/>
      <c r="W183" s="149"/>
      <c r="X183" s="149"/>
      <c r="Y183" s="149"/>
      <c r="Z183" s="149"/>
      <c r="AA183" s="149"/>
    </row>
    <row r="184" spans="1:27" ht="13" x14ac:dyDescent="0.15">
      <c r="A184" s="35"/>
      <c r="B184" s="32"/>
      <c r="C184" s="242" t="s">
        <v>132</v>
      </c>
      <c r="D184" s="243"/>
      <c r="E184" s="113">
        <f>HLOOKUP($D$7, 'Data - Breakdown of Economic Co'!$E$74:$G$138, 61, FALSE)</f>
        <v>1050</v>
      </c>
      <c r="F184" s="32"/>
      <c r="G184" s="155"/>
      <c r="H184" s="99"/>
      <c r="I184" s="155"/>
      <c r="J184" s="155"/>
      <c r="K184" s="155"/>
      <c r="L184" s="149"/>
      <c r="M184" s="149"/>
      <c r="N184" s="149"/>
      <c r="O184" s="149"/>
      <c r="P184" s="149"/>
      <c r="Q184" s="149"/>
      <c r="R184" s="149"/>
      <c r="S184" s="149"/>
      <c r="T184" s="149"/>
      <c r="U184" s="149"/>
      <c r="V184" s="149"/>
      <c r="W184" s="149"/>
      <c r="X184" s="149"/>
      <c r="Y184" s="149"/>
      <c r="Z184" s="149"/>
      <c r="AA184" s="149"/>
    </row>
    <row r="185" spans="1:27" ht="13" x14ac:dyDescent="0.15">
      <c r="A185" s="35"/>
      <c r="B185" s="32"/>
      <c r="C185" s="242" t="s">
        <v>133</v>
      </c>
      <c r="D185" s="243"/>
      <c r="E185" s="113">
        <f>HLOOKUP($D$7, 'Data - Breakdown of Economic Co'!$E$74:$G$138, 62, FALSE)</f>
        <v>283</v>
      </c>
      <c r="F185" s="32"/>
      <c r="G185" s="155"/>
      <c r="H185" s="155"/>
      <c r="I185" s="155"/>
      <c r="J185" s="155"/>
      <c r="K185" s="155"/>
      <c r="L185" s="149"/>
      <c r="M185" s="149"/>
      <c r="N185" s="149"/>
      <c r="O185" s="149"/>
      <c r="P185" s="149"/>
      <c r="Q185" s="149"/>
      <c r="R185" s="149"/>
      <c r="S185" s="149"/>
      <c r="T185" s="149"/>
      <c r="U185" s="149"/>
      <c r="V185" s="149"/>
      <c r="W185" s="149"/>
      <c r="X185" s="149"/>
      <c r="Y185" s="149"/>
      <c r="Z185" s="149"/>
      <c r="AA185" s="149"/>
    </row>
    <row r="186" spans="1:27" ht="13" x14ac:dyDescent="0.15">
      <c r="A186" s="35"/>
      <c r="B186" s="32"/>
      <c r="C186" s="242" t="s">
        <v>134</v>
      </c>
      <c r="D186" s="243"/>
      <c r="E186" s="377">
        <f>HLOOKUP($D$7, 'Data - Breakdown of Economic Co'!$E$74:$G$138, 63, FALSE)</f>
        <v>13.14</v>
      </c>
      <c r="F186" s="32"/>
      <c r="G186" s="155"/>
      <c r="H186" s="155"/>
      <c r="I186" s="155"/>
      <c r="J186" s="155"/>
      <c r="K186" s="155"/>
      <c r="L186" s="149"/>
      <c r="M186" s="149"/>
      <c r="N186" s="149"/>
      <c r="O186" s="149"/>
      <c r="P186" s="149"/>
      <c r="Q186" s="149"/>
      <c r="R186" s="149"/>
      <c r="S186" s="149"/>
      <c r="T186" s="149"/>
      <c r="U186" s="149"/>
      <c r="V186" s="149"/>
      <c r="W186" s="149"/>
      <c r="X186" s="149"/>
      <c r="Y186" s="149"/>
      <c r="Z186" s="149"/>
      <c r="AA186" s="149"/>
    </row>
    <row r="187" spans="1:27" ht="13" x14ac:dyDescent="0.15">
      <c r="A187" s="35"/>
      <c r="B187" s="32"/>
      <c r="C187" s="273" t="s">
        <v>135</v>
      </c>
      <c r="D187" s="265"/>
      <c r="E187" s="378">
        <f>SUM(E183*(E184-E185)*E186)</f>
        <v>485.27399700000001</v>
      </c>
      <c r="F187" s="32"/>
      <c r="G187" s="155"/>
      <c r="H187" s="155"/>
      <c r="I187" s="155"/>
      <c r="J187" s="155"/>
      <c r="K187" s="155"/>
      <c r="L187" s="149"/>
      <c r="M187" s="149"/>
      <c r="N187" s="149"/>
      <c r="O187" s="149"/>
      <c r="P187" s="149"/>
      <c r="Q187" s="149"/>
      <c r="R187" s="149"/>
      <c r="S187" s="149"/>
      <c r="T187" s="149"/>
      <c r="U187" s="149"/>
      <c r="V187" s="149"/>
      <c r="W187" s="149"/>
      <c r="X187" s="149"/>
      <c r="Y187" s="149"/>
      <c r="Z187" s="149"/>
      <c r="AA187" s="149"/>
    </row>
    <row r="188" spans="1:27" ht="13" x14ac:dyDescent="0.15">
      <c r="A188" s="35"/>
      <c r="B188" s="32"/>
      <c r="C188" s="273" t="s">
        <v>136</v>
      </c>
      <c r="D188" s="265"/>
      <c r="E188" s="378">
        <f>SUM(E186*(E184-E185))</f>
        <v>10078.380000000001</v>
      </c>
      <c r="F188" s="32"/>
      <c r="G188" s="155"/>
      <c r="H188" s="155"/>
      <c r="I188" s="92"/>
      <c r="J188" s="92"/>
      <c r="K188" s="92"/>
      <c r="L188" s="149"/>
      <c r="M188" s="149"/>
      <c r="N188" s="149"/>
      <c r="O188" s="149"/>
      <c r="P188" s="149"/>
      <c r="Q188" s="149"/>
      <c r="R188" s="149"/>
      <c r="S188" s="149"/>
      <c r="T188" s="149"/>
      <c r="U188" s="149"/>
      <c r="V188" s="149"/>
      <c r="W188" s="149"/>
      <c r="X188" s="149"/>
      <c r="Y188" s="149"/>
      <c r="Z188" s="149"/>
      <c r="AA188" s="149"/>
    </row>
    <row r="189" spans="1:27" ht="14" thickBot="1" x14ac:dyDescent="0.2">
      <c r="A189" s="35"/>
      <c r="B189" s="32"/>
      <c r="C189" s="317" t="s">
        <v>253</v>
      </c>
      <c r="D189" s="325"/>
      <c r="E189" s="379">
        <f>SUM(E187*E182)</f>
        <v>3785137.1765999999</v>
      </c>
      <c r="F189" s="32"/>
      <c r="G189" s="155"/>
      <c r="H189" s="155"/>
      <c r="I189" s="155"/>
      <c r="J189" s="155"/>
      <c r="K189" s="155"/>
      <c r="L189" s="149"/>
      <c r="M189" s="149"/>
      <c r="N189" s="149"/>
      <c r="O189" s="149"/>
      <c r="P189" s="149"/>
      <c r="Q189" s="149"/>
      <c r="R189" s="149"/>
      <c r="S189" s="149"/>
      <c r="T189" s="149"/>
      <c r="U189" s="149"/>
      <c r="V189" s="149"/>
      <c r="W189" s="149"/>
      <c r="X189" s="149"/>
      <c r="Y189" s="149"/>
      <c r="Z189" s="149"/>
      <c r="AA189" s="149"/>
    </row>
    <row r="190" spans="1:27" ht="13" x14ac:dyDescent="0.15">
      <c r="A190" s="35"/>
      <c r="B190" s="32"/>
      <c r="C190" s="112"/>
      <c r="D190" s="112"/>
      <c r="E190" s="112"/>
      <c r="F190" s="32"/>
      <c r="G190" s="155"/>
      <c r="H190" s="155"/>
      <c r="I190" s="155"/>
      <c r="J190" s="155"/>
      <c r="K190" s="155"/>
      <c r="L190" s="149"/>
      <c r="M190" s="149"/>
      <c r="N190" s="149"/>
      <c r="O190" s="149"/>
      <c r="P190" s="149"/>
      <c r="Q190" s="149"/>
      <c r="R190" s="149"/>
      <c r="S190" s="149"/>
      <c r="T190" s="149"/>
      <c r="U190" s="149"/>
      <c r="V190" s="149"/>
      <c r="W190" s="149"/>
      <c r="X190" s="149"/>
      <c r="Y190" s="149"/>
      <c r="Z190" s="149"/>
      <c r="AA190" s="149"/>
    </row>
    <row r="191" spans="1:27" ht="13" x14ac:dyDescent="0.15">
      <c r="A191" s="35"/>
      <c r="B191" s="32"/>
      <c r="C191" s="274" t="s">
        <v>254</v>
      </c>
      <c r="D191" s="275"/>
      <c r="E191" s="380">
        <f>SUM(E187+E173+E164+E151+E138+E129+E117)</f>
        <v>1503.6983970000001</v>
      </c>
      <c r="F191" s="32"/>
      <c r="G191" s="254"/>
      <c r="H191" s="252"/>
      <c r="I191" s="94"/>
      <c r="J191" s="155"/>
      <c r="K191" s="155"/>
      <c r="L191" s="149"/>
      <c r="M191" s="149"/>
      <c r="N191" s="149"/>
      <c r="O191" s="149"/>
      <c r="P191" s="149"/>
      <c r="Q191" s="149"/>
      <c r="R191" s="149"/>
      <c r="S191" s="149"/>
      <c r="T191" s="149"/>
      <c r="U191" s="149"/>
      <c r="V191" s="149"/>
      <c r="W191" s="149"/>
      <c r="X191" s="149"/>
      <c r="Y191" s="149"/>
      <c r="Z191" s="149"/>
      <c r="AA191" s="149"/>
    </row>
    <row r="192" spans="1:27" ht="24.75" customHeight="1" thickBot="1" x14ac:dyDescent="0.2">
      <c r="A192" s="35"/>
      <c r="B192" s="32"/>
      <c r="C192" s="310" t="s">
        <v>255</v>
      </c>
      <c r="D192" s="311"/>
      <c r="E192" s="381">
        <f>SUM(E188+E174+E165+E152+E139+E130+E118)</f>
        <v>14854.78</v>
      </c>
      <c r="F192" s="32"/>
      <c r="G192" s="254"/>
      <c r="H192" s="252"/>
      <c r="I192" s="95"/>
      <c r="J192" s="155"/>
      <c r="K192" s="155"/>
      <c r="L192" s="149"/>
      <c r="M192" s="149"/>
      <c r="N192" s="149"/>
      <c r="O192" s="149"/>
      <c r="P192" s="149"/>
      <c r="Q192" s="149"/>
      <c r="R192" s="149"/>
      <c r="S192" s="149"/>
      <c r="T192" s="149"/>
      <c r="U192" s="149"/>
      <c r="V192" s="149"/>
      <c r="W192" s="149"/>
      <c r="X192" s="149"/>
      <c r="Y192" s="149"/>
      <c r="Z192" s="149"/>
      <c r="AA192" s="149"/>
    </row>
    <row r="193" spans="1:27" ht="14" thickBot="1" x14ac:dyDescent="0.2">
      <c r="A193" s="35"/>
      <c r="B193" s="108"/>
      <c r="C193" s="312" t="s">
        <v>256</v>
      </c>
      <c r="D193" s="313"/>
      <c r="E193" s="382">
        <f>SUM(E189+E176+E153+E141+E119)</f>
        <v>14204012.136599999</v>
      </c>
      <c r="F193" s="108"/>
      <c r="G193" s="155"/>
      <c r="H193" s="155"/>
      <c r="I193" s="155"/>
      <c r="J193" s="155"/>
      <c r="K193" s="155"/>
      <c r="L193" s="149"/>
      <c r="M193" s="149"/>
      <c r="N193" s="149"/>
      <c r="O193" s="149"/>
      <c r="P193" s="149"/>
      <c r="Q193" s="149"/>
      <c r="R193" s="149"/>
      <c r="S193" s="149"/>
      <c r="T193" s="149"/>
      <c r="U193" s="149"/>
      <c r="V193" s="149"/>
      <c r="W193" s="149"/>
      <c r="X193" s="149"/>
      <c r="Y193" s="149"/>
      <c r="Z193" s="149"/>
      <c r="AA193" s="149"/>
    </row>
    <row r="194" spans="1:27" ht="14" thickTop="1" x14ac:dyDescent="0.15">
      <c r="A194" s="35"/>
      <c r="B194" s="108"/>
      <c r="C194" s="271"/>
      <c r="D194" s="272"/>
      <c r="E194" s="107"/>
      <c r="F194" s="108"/>
      <c r="G194" s="155"/>
      <c r="H194" s="155"/>
      <c r="I194" s="155"/>
      <c r="J194" s="155"/>
      <c r="K194" s="155"/>
      <c r="L194" s="149"/>
      <c r="M194" s="149"/>
      <c r="N194" s="149"/>
      <c r="O194" s="149"/>
      <c r="P194" s="149"/>
      <c r="Q194" s="149"/>
      <c r="R194" s="149"/>
      <c r="S194" s="149"/>
      <c r="T194" s="149"/>
      <c r="U194" s="149"/>
      <c r="V194" s="149"/>
      <c r="W194" s="149"/>
      <c r="X194" s="149"/>
      <c r="Y194" s="149"/>
      <c r="Z194" s="149"/>
      <c r="AA194" s="149"/>
    </row>
    <row r="195" spans="1:27" ht="13" x14ac:dyDescent="0.15">
      <c r="A195" s="35"/>
      <c r="B195" s="108"/>
      <c r="C195" s="108"/>
      <c r="D195" s="108"/>
      <c r="E195" s="108"/>
      <c r="F195" s="108"/>
      <c r="G195" s="155"/>
      <c r="H195" s="155"/>
      <c r="I195" s="155"/>
      <c r="J195" s="155"/>
      <c r="K195" s="155"/>
      <c r="L195" s="149"/>
      <c r="M195" s="149"/>
      <c r="N195" s="149"/>
      <c r="O195" s="149"/>
      <c r="P195" s="149"/>
      <c r="Q195" s="149"/>
      <c r="R195" s="149"/>
      <c r="S195" s="149"/>
      <c r="T195" s="149"/>
      <c r="U195" s="149"/>
      <c r="V195" s="149"/>
      <c r="W195" s="149"/>
      <c r="X195" s="149"/>
      <c r="Y195" s="149"/>
      <c r="Z195" s="149"/>
      <c r="AA195" s="149"/>
    </row>
    <row r="196" spans="1:27" ht="13" x14ac:dyDescent="0.15">
      <c r="A196" s="35"/>
      <c r="B196" s="106"/>
      <c r="C196" s="106"/>
      <c r="D196" s="106"/>
      <c r="E196" s="106"/>
      <c r="F196" s="106"/>
      <c r="G196" s="149"/>
      <c r="H196" s="149"/>
      <c r="I196" s="149"/>
      <c r="J196" s="149"/>
      <c r="K196" s="149"/>
      <c r="L196" s="149"/>
      <c r="M196" s="149"/>
      <c r="N196" s="149"/>
      <c r="O196" s="149"/>
      <c r="P196" s="149"/>
      <c r="Q196" s="149"/>
      <c r="R196" s="149"/>
      <c r="S196" s="149"/>
      <c r="T196" s="149"/>
      <c r="U196" s="149"/>
      <c r="V196" s="149"/>
      <c r="W196" s="149"/>
      <c r="X196" s="149"/>
      <c r="Y196" s="149"/>
      <c r="Z196" s="149"/>
      <c r="AA196" s="149"/>
    </row>
    <row r="197" spans="1:27" ht="13" x14ac:dyDescent="0.15">
      <c r="A197" s="35"/>
      <c r="B197" s="35"/>
      <c r="C197" s="138"/>
      <c r="D197" s="149"/>
      <c r="E197" s="149"/>
      <c r="F197" s="35"/>
      <c r="G197" s="149"/>
      <c r="H197" s="149"/>
      <c r="I197" s="149"/>
      <c r="J197" s="149"/>
      <c r="K197" s="149"/>
      <c r="L197" s="149"/>
      <c r="M197" s="149"/>
      <c r="N197" s="149"/>
      <c r="O197" s="149"/>
      <c r="P197" s="149"/>
      <c r="Q197" s="149"/>
      <c r="R197" s="149"/>
      <c r="S197" s="149"/>
      <c r="T197" s="149"/>
      <c r="U197" s="149"/>
      <c r="V197" s="149"/>
      <c r="W197" s="149"/>
      <c r="X197" s="149"/>
      <c r="Y197" s="149"/>
      <c r="Z197" s="149"/>
      <c r="AA197" s="149"/>
    </row>
    <row r="198" spans="1:27" ht="13" x14ac:dyDescent="0.15">
      <c r="A198" s="35"/>
      <c r="B198" s="35"/>
      <c r="C198" s="149"/>
      <c r="D198" s="149"/>
      <c r="E198" s="149"/>
      <c r="F198" s="35"/>
      <c r="G198" s="149"/>
      <c r="H198" s="149"/>
      <c r="I198" s="149"/>
      <c r="J198" s="149"/>
      <c r="K198" s="149"/>
      <c r="L198" s="149"/>
      <c r="M198" s="149"/>
      <c r="N198" s="149"/>
      <c r="O198" s="149"/>
      <c r="P198" s="149"/>
      <c r="Q198" s="149"/>
      <c r="R198" s="149"/>
      <c r="S198" s="149"/>
      <c r="T198" s="149"/>
      <c r="U198" s="149"/>
      <c r="V198" s="149"/>
      <c r="W198" s="149"/>
      <c r="X198" s="149"/>
      <c r="Y198" s="149"/>
      <c r="Z198" s="149"/>
      <c r="AA198" s="149"/>
    </row>
    <row r="199" spans="1:27" ht="13" x14ac:dyDescent="0.15">
      <c r="A199" s="35"/>
      <c r="B199" s="35"/>
      <c r="C199" s="149"/>
      <c r="D199" s="149"/>
      <c r="E199" s="149"/>
      <c r="F199" s="35"/>
      <c r="G199" s="149"/>
      <c r="H199" s="149"/>
      <c r="I199" s="149"/>
      <c r="J199" s="149"/>
      <c r="K199" s="149"/>
      <c r="L199" s="149"/>
      <c r="M199" s="149"/>
      <c r="N199" s="149"/>
      <c r="O199" s="149"/>
      <c r="P199" s="149"/>
      <c r="Q199" s="149"/>
      <c r="R199" s="149"/>
      <c r="S199" s="149"/>
      <c r="T199" s="149"/>
      <c r="U199" s="149"/>
      <c r="V199" s="149"/>
      <c r="W199" s="149"/>
      <c r="X199" s="149"/>
      <c r="Y199" s="149"/>
      <c r="Z199" s="149"/>
      <c r="AA199" s="149"/>
    </row>
    <row r="200" spans="1:27" ht="13" x14ac:dyDescent="0.15">
      <c r="A200" s="35"/>
      <c r="B200" s="35"/>
      <c r="C200" s="149"/>
      <c r="D200" s="149"/>
      <c r="E200" s="149"/>
      <c r="F200" s="35"/>
      <c r="G200" s="149"/>
      <c r="H200" s="99"/>
      <c r="I200" s="136"/>
      <c r="J200" s="136"/>
      <c r="K200" s="136"/>
      <c r="L200" s="149"/>
      <c r="M200" s="149"/>
      <c r="N200" s="149"/>
      <c r="O200" s="149"/>
      <c r="P200" s="149"/>
      <c r="Q200" s="149"/>
      <c r="R200" s="149"/>
      <c r="S200" s="149"/>
      <c r="T200" s="149"/>
      <c r="U200" s="149"/>
      <c r="V200" s="149"/>
      <c r="W200" s="149"/>
      <c r="X200" s="149"/>
      <c r="Y200" s="149"/>
      <c r="Z200" s="149"/>
      <c r="AA200" s="149"/>
    </row>
    <row r="201" spans="1:27" ht="13" x14ac:dyDescent="0.15">
      <c r="A201" s="35"/>
      <c r="B201" s="35"/>
      <c r="C201" s="149"/>
      <c r="D201" s="149"/>
      <c r="E201" s="149"/>
      <c r="F201" s="35"/>
      <c r="G201" s="149"/>
      <c r="H201" s="99"/>
      <c r="I201" s="269"/>
      <c r="J201" s="211"/>
      <c r="K201" s="137"/>
      <c r="L201" s="149"/>
      <c r="M201" s="149"/>
      <c r="N201" s="149"/>
      <c r="O201" s="149"/>
      <c r="P201" s="149"/>
      <c r="Q201" s="149"/>
      <c r="R201" s="149"/>
      <c r="S201" s="149"/>
      <c r="T201" s="149"/>
      <c r="U201" s="149"/>
      <c r="V201" s="149"/>
      <c r="W201" s="149"/>
      <c r="X201" s="149"/>
      <c r="Y201" s="149"/>
      <c r="Z201" s="149"/>
      <c r="AA201" s="149"/>
    </row>
    <row r="202" spans="1:27" ht="15.75" customHeight="1" x14ac:dyDescent="0.15">
      <c r="A202" s="149"/>
      <c r="B202" s="149"/>
      <c r="C202" s="149"/>
      <c r="D202" s="149"/>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row>
    <row r="203" spans="1:27" ht="15.75" customHeight="1" x14ac:dyDescent="0.15">
      <c r="A203" s="149"/>
      <c r="B203" s="149"/>
      <c r="C203" s="149"/>
      <c r="D203" s="149"/>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row>
    <row r="204" spans="1:27" ht="15.75" customHeight="1" x14ac:dyDescent="0.15">
      <c r="A204" s="149"/>
      <c r="B204" s="149"/>
      <c r="C204" s="149"/>
      <c r="D204" s="149"/>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row>
    <row r="205" spans="1:27" ht="15.75" customHeight="1" x14ac:dyDescent="0.15">
      <c r="A205" s="149"/>
      <c r="B205" s="149"/>
      <c r="C205" s="149"/>
      <c r="D205" s="149"/>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row>
    <row r="206" spans="1:27" ht="15.75" customHeight="1" x14ac:dyDescent="0.15">
      <c r="A206" s="149"/>
      <c r="B206" s="149"/>
      <c r="C206" s="149"/>
      <c r="D206" s="149"/>
      <c r="E206" s="149"/>
      <c r="F206" s="149"/>
      <c r="G206" s="149"/>
      <c r="H206" s="149"/>
      <c r="I206" s="149"/>
      <c r="J206" s="149"/>
      <c r="K206" s="149"/>
      <c r="L206" s="149"/>
      <c r="M206" s="149"/>
      <c r="N206" s="149"/>
      <c r="O206" s="149"/>
      <c r="P206" s="149"/>
      <c r="Q206" s="149"/>
      <c r="R206" s="149"/>
      <c r="S206" s="149"/>
      <c r="T206" s="149"/>
      <c r="U206" s="149"/>
      <c r="V206" s="149"/>
      <c r="W206" s="149"/>
      <c r="X206" s="149"/>
      <c r="Y206" s="149"/>
      <c r="Z206" s="149"/>
      <c r="AA206" s="149"/>
    </row>
    <row r="207" spans="1:27" ht="15.75" customHeight="1" x14ac:dyDescent="0.15">
      <c r="A207" s="149"/>
      <c r="B207" s="149"/>
      <c r="C207" s="149"/>
      <c r="D207" s="149"/>
      <c r="E207" s="149"/>
      <c r="F207" s="149"/>
      <c r="G207" s="149"/>
      <c r="H207" s="149"/>
      <c r="I207" s="149"/>
      <c r="J207" s="149"/>
      <c r="K207" s="149"/>
      <c r="L207" s="149"/>
      <c r="M207" s="149"/>
      <c r="N207" s="149"/>
      <c r="O207" s="149"/>
      <c r="P207" s="149"/>
      <c r="Q207" s="149"/>
      <c r="R207" s="149"/>
      <c r="S207" s="149"/>
      <c r="T207" s="149"/>
      <c r="U207" s="149"/>
      <c r="V207" s="149"/>
      <c r="W207" s="149"/>
      <c r="X207" s="149"/>
      <c r="Y207" s="149"/>
      <c r="Z207" s="149"/>
      <c r="AA207" s="149"/>
    </row>
    <row r="208" spans="1:27" ht="15.75" customHeight="1" x14ac:dyDescent="0.15">
      <c r="A208" s="149"/>
      <c r="B208" s="149"/>
      <c r="C208" s="149"/>
      <c r="D208" s="149"/>
      <c r="E208" s="149"/>
      <c r="F208" s="149"/>
      <c r="G208" s="149"/>
      <c r="H208" s="149"/>
      <c r="I208" s="149"/>
      <c r="J208" s="149"/>
      <c r="K208" s="149"/>
      <c r="L208" s="149"/>
      <c r="M208" s="149"/>
      <c r="N208" s="149"/>
      <c r="O208" s="149"/>
      <c r="P208" s="149"/>
      <c r="Q208" s="149"/>
      <c r="R208" s="149"/>
      <c r="S208" s="149"/>
      <c r="T208" s="149"/>
      <c r="U208" s="149"/>
      <c r="V208" s="149"/>
      <c r="W208" s="149"/>
      <c r="X208" s="149"/>
      <c r="Y208" s="149"/>
      <c r="Z208" s="149"/>
      <c r="AA208" s="149"/>
    </row>
  </sheetData>
  <mergeCells count="179">
    <mergeCell ref="C193:D193"/>
    <mergeCell ref="C194:D194"/>
    <mergeCell ref="C187:D187"/>
    <mergeCell ref="C188:D188"/>
    <mergeCell ref="C189:D189"/>
    <mergeCell ref="C191:D191"/>
    <mergeCell ref="G191:H191"/>
    <mergeCell ref="C127:D127"/>
    <mergeCell ref="C128:D128"/>
    <mergeCell ref="C129:D129"/>
    <mergeCell ref="C130:D130"/>
    <mergeCell ref="C131:D131"/>
    <mergeCell ref="C132:E132"/>
    <mergeCell ref="C133:D133"/>
    <mergeCell ref="C134:D134"/>
    <mergeCell ref="I201:J201"/>
    <mergeCell ref="H143:I143"/>
    <mergeCell ref="C144:E144"/>
    <mergeCell ref="C145:D145"/>
    <mergeCell ref="C146:D146"/>
    <mergeCell ref="C147:D147"/>
    <mergeCell ref="C148:D148"/>
    <mergeCell ref="C135:D135"/>
    <mergeCell ref="C136:D136"/>
    <mergeCell ref="C137:D137"/>
    <mergeCell ref="C138:D138"/>
    <mergeCell ref="C139:D139"/>
    <mergeCell ref="C140:D140"/>
    <mergeCell ref="C141:D141"/>
    <mergeCell ref="H141:I141"/>
    <mergeCell ref="H142:J142"/>
    <mergeCell ref="C116:D116"/>
    <mergeCell ref="C117:D117"/>
    <mergeCell ref="C118:D118"/>
    <mergeCell ref="H120:I120"/>
    <mergeCell ref="C122:E122"/>
    <mergeCell ref="C123:D123"/>
    <mergeCell ref="C124:D124"/>
    <mergeCell ref="C125:D125"/>
    <mergeCell ref="C126:D126"/>
    <mergeCell ref="G192:H192"/>
    <mergeCell ref="C180:D180"/>
    <mergeCell ref="C181:D181"/>
    <mergeCell ref="C182:D182"/>
    <mergeCell ref="C183:D183"/>
    <mergeCell ref="C184:D184"/>
    <mergeCell ref="C185:D185"/>
    <mergeCell ref="C186:D186"/>
    <mergeCell ref="C192:D192"/>
    <mergeCell ref="C169:D169"/>
    <mergeCell ref="C170:D170"/>
    <mergeCell ref="C171:D171"/>
    <mergeCell ref="C172:D172"/>
    <mergeCell ref="C173:D173"/>
    <mergeCell ref="C174:D174"/>
    <mergeCell ref="C175:D175"/>
    <mergeCell ref="C176:D176"/>
    <mergeCell ref="C179:E179"/>
    <mergeCell ref="C160:D160"/>
    <mergeCell ref="C161:D161"/>
    <mergeCell ref="C162:D162"/>
    <mergeCell ref="C163:D163"/>
    <mergeCell ref="C164:D164"/>
    <mergeCell ref="C165:D165"/>
    <mergeCell ref="C166:D166"/>
    <mergeCell ref="C167:E167"/>
    <mergeCell ref="C168:D168"/>
    <mergeCell ref="C150:D150"/>
    <mergeCell ref="C153:D153"/>
    <mergeCell ref="H154:J154"/>
    <mergeCell ref="H155:I155"/>
    <mergeCell ref="J155:K155"/>
    <mergeCell ref="C156:E156"/>
    <mergeCell ref="C157:D157"/>
    <mergeCell ref="C158:D158"/>
    <mergeCell ref="C159:D159"/>
    <mergeCell ref="C152:D152"/>
    <mergeCell ref="C34:D34"/>
    <mergeCell ref="C88:D88"/>
    <mergeCell ref="C89:D89"/>
    <mergeCell ref="C90:D90"/>
    <mergeCell ref="C91:E91"/>
    <mergeCell ref="C92:D92"/>
    <mergeCell ref="C93:D93"/>
    <mergeCell ref="C94:D94"/>
    <mergeCell ref="C149:D149"/>
    <mergeCell ref="C95:D95"/>
    <mergeCell ref="C96:D96"/>
    <mergeCell ref="C97:D97"/>
    <mergeCell ref="C98:D98"/>
    <mergeCell ref="C99:D99"/>
    <mergeCell ref="C100:D100"/>
    <mergeCell ref="C102:D102"/>
    <mergeCell ref="C103:D103"/>
    <mergeCell ref="C109:E109"/>
    <mergeCell ref="C110:D110"/>
    <mergeCell ref="C111:D111"/>
    <mergeCell ref="C112:D112"/>
    <mergeCell ref="C113:D113"/>
    <mergeCell ref="C114:D114"/>
    <mergeCell ref="C115:D115"/>
    <mergeCell ref="C24:D24"/>
    <mergeCell ref="C25:D25"/>
    <mergeCell ref="C26:D26"/>
    <mergeCell ref="C27:D27"/>
    <mergeCell ref="C28:D28"/>
    <mergeCell ref="C29:D29"/>
    <mergeCell ref="C31:E31"/>
    <mergeCell ref="C32:E32"/>
    <mergeCell ref="C33:D33"/>
    <mergeCell ref="B14:C14"/>
    <mergeCell ref="D14:F14"/>
    <mergeCell ref="B15:C15"/>
    <mergeCell ref="D15:F15"/>
    <mergeCell ref="D16:F16"/>
    <mergeCell ref="D17:F17"/>
    <mergeCell ref="C21:E21"/>
    <mergeCell ref="C22:E22"/>
    <mergeCell ref="C23:D23"/>
    <mergeCell ref="C79:D79"/>
    <mergeCell ref="C80:D80"/>
    <mergeCell ref="C83:E83"/>
    <mergeCell ref="C84:D84"/>
    <mergeCell ref="C85:D85"/>
    <mergeCell ref="C87:D87"/>
    <mergeCell ref="B4:C4"/>
    <mergeCell ref="D4:F4"/>
    <mergeCell ref="B5:C5"/>
    <mergeCell ref="D5:F5"/>
    <mergeCell ref="B6:C6"/>
    <mergeCell ref="D6:F6"/>
    <mergeCell ref="D7:F7"/>
    <mergeCell ref="B7:C7"/>
    <mergeCell ref="B9:C9"/>
    <mergeCell ref="D9:F9"/>
    <mergeCell ref="B10:C10"/>
    <mergeCell ref="D11:F11"/>
    <mergeCell ref="B11:C11"/>
    <mergeCell ref="D10:F10"/>
    <mergeCell ref="B16:C16"/>
    <mergeCell ref="B17:C17"/>
    <mergeCell ref="B12:C12"/>
    <mergeCell ref="D12:F12"/>
    <mergeCell ref="C64:D64"/>
    <mergeCell ref="C66:D66"/>
    <mergeCell ref="C72:E72"/>
    <mergeCell ref="C73:E73"/>
    <mergeCell ref="C74:D74"/>
    <mergeCell ref="C75:D75"/>
    <mergeCell ref="C76:D76"/>
    <mergeCell ref="C77:D77"/>
    <mergeCell ref="C78:D78"/>
    <mergeCell ref="C55:D55"/>
    <mergeCell ref="C56:E56"/>
    <mergeCell ref="C57:D57"/>
    <mergeCell ref="C58:D58"/>
    <mergeCell ref="C59:D59"/>
    <mergeCell ref="C60:D60"/>
    <mergeCell ref="C61:D61"/>
    <mergeCell ref="C62:D62"/>
    <mergeCell ref="C63:D63"/>
    <mergeCell ref="C44:D44"/>
    <mergeCell ref="C45:D45"/>
    <mergeCell ref="C48:E48"/>
    <mergeCell ref="C49:D49"/>
    <mergeCell ref="C50:D50"/>
    <mergeCell ref="C51:D51"/>
    <mergeCell ref="C52:D52"/>
    <mergeCell ref="C53:D53"/>
    <mergeCell ref="C54:D54"/>
    <mergeCell ref="C35:D35"/>
    <mergeCell ref="C36:D36"/>
    <mergeCell ref="C37:D37"/>
    <mergeCell ref="C38:D38"/>
    <mergeCell ref="C39:E39"/>
    <mergeCell ref="C40:D40"/>
    <mergeCell ref="C41:D41"/>
    <mergeCell ref="C42:D42"/>
    <mergeCell ref="C43:D43"/>
  </mergeCells>
  <conditionalFormatting sqref="E119">
    <cfRule type="colorScale" priority="1">
      <colorScale>
        <cfvo type="min"/>
        <cfvo type="max"/>
        <color rgb="FF57BB8A"/>
        <color rgb="FFFFFFFF"/>
      </colorScale>
    </cfRule>
  </conditionalFormatting>
  <conditionalFormatting sqref="D5:F5">
    <cfRule type="colorScale" priority="2">
      <colorScale>
        <cfvo type="min"/>
        <cfvo type="max"/>
        <color rgb="FF57BB8A"/>
        <color rgb="FFFFFFFF"/>
      </colorScale>
    </cfRule>
  </conditionalFormatting>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54A6-A9BA-404F-A8CE-CE28FBB0C45A}">
  <dimension ref="A1:AA181"/>
  <sheetViews>
    <sheetView showGridLines="0" workbookViewId="0">
      <selection activeCell="H18" sqref="H18"/>
    </sheetView>
  </sheetViews>
  <sheetFormatPr baseColWidth="10" defaultColWidth="8.83203125" defaultRowHeight="13" x14ac:dyDescent="0.15"/>
  <cols>
    <col min="1" max="1" width="7.5" customWidth="1"/>
    <col min="3" max="3" width="55.5" customWidth="1"/>
    <col min="4" max="4" width="17.33203125" customWidth="1"/>
  </cols>
  <sheetData>
    <row r="1" spans="1:27" s="277" customFormat="1" x14ac:dyDescent="0.15">
      <c r="A1" s="1" t="s">
        <v>0</v>
      </c>
      <c r="B1" s="2"/>
      <c r="C1" s="2"/>
      <c r="D1" s="2"/>
      <c r="E1" s="2"/>
      <c r="F1" s="2"/>
      <c r="G1" s="2"/>
      <c r="H1" s="2"/>
      <c r="I1" s="2"/>
      <c r="J1" s="2"/>
      <c r="K1" s="2"/>
      <c r="L1" s="2"/>
      <c r="M1" s="2"/>
      <c r="N1" s="2"/>
      <c r="O1" s="2"/>
      <c r="P1" s="2"/>
      <c r="Q1" s="2"/>
      <c r="R1" s="2"/>
      <c r="S1" s="2"/>
      <c r="T1" s="2"/>
      <c r="U1" s="2"/>
      <c r="V1" s="2"/>
      <c r="W1" s="2"/>
      <c r="X1" s="2"/>
      <c r="Y1" s="2"/>
      <c r="Z1" s="2"/>
      <c r="AA1" s="2"/>
    </row>
    <row r="2" spans="1:27" s="277" customFormat="1" x14ac:dyDescent="0.15">
      <c r="A2" s="3" t="s">
        <v>257</v>
      </c>
      <c r="B2" s="2"/>
      <c r="C2" s="2"/>
      <c r="D2" s="2"/>
      <c r="E2" s="2"/>
      <c r="F2" s="2"/>
      <c r="G2" s="2"/>
      <c r="H2" s="2"/>
      <c r="I2" s="2"/>
      <c r="J2" s="2"/>
      <c r="K2" s="2"/>
      <c r="L2" s="2"/>
      <c r="M2" s="2"/>
      <c r="N2" s="2"/>
      <c r="O2" s="2"/>
      <c r="P2" s="2"/>
      <c r="Q2" s="2"/>
      <c r="R2" s="2"/>
      <c r="S2" s="2"/>
      <c r="T2" s="2"/>
      <c r="U2" s="2"/>
      <c r="V2" s="2"/>
      <c r="W2" s="2"/>
      <c r="X2" s="2"/>
      <c r="Y2" s="2"/>
      <c r="Z2" s="2"/>
      <c r="AA2" s="2"/>
    </row>
    <row r="3" spans="1:27" ht="14" customHeight="1" x14ac:dyDescent="0.15"/>
    <row r="4" spans="1:27" x14ac:dyDescent="0.15">
      <c r="A4" s="181"/>
      <c r="B4" s="7" t="s">
        <v>11</v>
      </c>
      <c r="C4" s="8"/>
      <c r="D4" s="8"/>
      <c r="E4" s="8"/>
      <c r="F4" s="8"/>
    </row>
    <row r="5" spans="1:27" x14ac:dyDescent="0.15">
      <c r="A5" s="181"/>
      <c r="B5" s="14"/>
      <c r="C5" s="14"/>
      <c r="D5" s="14"/>
      <c r="E5" s="14"/>
      <c r="F5" s="14"/>
    </row>
    <row r="6" spans="1:27" ht="13" customHeight="1" x14ac:dyDescent="0.15">
      <c r="A6" s="181"/>
      <c r="B6" s="14"/>
      <c r="C6" s="236" t="s">
        <v>38</v>
      </c>
      <c r="D6" s="223"/>
      <c r="E6" s="237"/>
      <c r="F6" s="14"/>
    </row>
    <row r="7" spans="1:27" ht="13" customHeight="1" x14ac:dyDescent="0.15">
      <c r="A7" s="181"/>
      <c r="B7" s="14"/>
      <c r="C7" s="238" t="s">
        <v>39</v>
      </c>
      <c r="D7" s="223"/>
      <c r="E7" s="221"/>
      <c r="F7" s="14"/>
    </row>
    <row r="8" spans="1:27" ht="13" customHeight="1" x14ac:dyDescent="0.15">
      <c r="A8" s="181"/>
      <c r="B8" s="14"/>
      <c r="C8" s="220" t="s">
        <v>26</v>
      </c>
      <c r="D8" s="221"/>
      <c r="E8" s="53"/>
      <c r="F8" s="14"/>
    </row>
    <row r="9" spans="1:27" ht="25.5" customHeight="1" x14ac:dyDescent="0.15">
      <c r="A9" s="181"/>
      <c r="B9" s="14"/>
      <c r="C9" s="227" t="s">
        <v>41</v>
      </c>
      <c r="D9" s="228"/>
      <c r="E9" s="53"/>
      <c r="F9" s="14"/>
    </row>
    <row r="10" spans="1:27" ht="13" customHeight="1" x14ac:dyDescent="0.15">
      <c r="A10" s="181"/>
      <c r="B10" s="14"/>
      <c r="C10" s="227" t="s">
        <v>42</v>
      </c>
      <c r="D10" s="228"/>
      <c r="E10" s="53"/>
      <c r="F10" s="14"/>
    </row>
    <row r="11" spans="1:27" ht="13" customHeight="1" x14ac:dyDescent="0.15">
      <c r="A11" s="181"/>
      <c r="B11" s="14"/>
      <c r="C11" s="229" t="s">
        <v>43</v>
      </c>
      <c r="D11" s="221"/>
      <c r="E11" s="143"/>
      <c r="F11" s="14"/>
    </row>
    <row r="12" spans="1:27" ht="13" customHeight="1" x14ac:dyDescent="0.15">
      <c r="A12" s="181"/>
      <c r="B12" s="14"/>
      <c r="C12" s="229" t="s">
        <v>44</v>
      </c>
      <c r="D12" s="221"/>
      <c r="E12" s="142"/>
      <c r="F12" s="14"/>
    </row>
    <row r="13" spans="1:27" ht="13" customHeight="1" x14ac:dyDescent="0.15">
      <c r="A13" s="181"/>
      <c r="B13" s="14"/>
      <c r="C13" s="239" t="s">
        <v>45</v>
      </c>
      <c r="D13" s="230"/>
      <c r="E13" s="307"/>
      <c r="F13" s="14"/>
    </row>
    <row r="14" spans="1:27" ht="13" customHeight="1" thickBot="1" x14ac:dyDescent="0.2">
      <c r="A14" s="181"/>
      <c r="B14" s="14"/>
      <c r="C14" s="308" t="s">
        <v>46</v>
      </c>
      <c r="D14" s="323"/>
      <c r="E14" s="322">
        <f>E10*E11*E12*E13/14</f>
        <v>0</v>
      </c>
      <c r="F14" s="14"/>
    </row>
    <row r="15" spans="1:27" x14ac:dyDescent="0.15">
      <c r="A15" s="181"/>
      <c r="B15" s="14"/>
      <c r="C15" s="14"/>
      <c r="D15" s="14"/>
      <c r="E15" s="14"/>
      <c r="F15" s="14"/>
    </row>
    <row r="16" spans="1:27" ht="13" customHeight="1" x14ac:dyDescent="0.15">
      <c r="A16" s="181"/>
      <c r="B16" s="12"/>
      <c r="C16" s="240" t="s">
        <v>47</v>
      </c>
      <c r="D16" s="223"/>
      <c r="E16" s="237"/>
      <c r="F16" s="14"/>
    </row>
    <row r="17" spans="1:6" ht="13" customHeight="1" x14ac:dyDescent="0.15">
      <c r="A17" s="181"/>
      <c r="B17" s="13"/>
      <c r="C17" s="241" t="s">
        <v>48</v>
      </c>
      <c r="D17" s="223"/>
      <c r="E17" s="221"/>
      <c r="F17" s="14"/>
    </row>
    <row r="18" spans="1:6" ht="13" customHeight="1" x14ac:dyDescent="0.15">
      <c r="A18" s="181"/>
      <c r="B18" s="13"/>
      <c r="C18" s="220" t="s">
        <v>27</v>
      </c>
      <c r="D18" s="221"/>
      <c r="E18" s="53"/>
      <c r="F18" s="14"/>
    </row>
    <row r="19" spans="1:6" ht="13" customHeight="1" x14ac:dyDescent="0.15">
      <c r="A19" s="181"/>
      <c r="B19" s="13"/>
      <c r="C19" s="220" t="s">
        <v>26</v>
      </c>
      <c r="D19" s="221"/>
      <c r="E19" s="53"/>
      <c r="F19" s="14"/>
    </row>
    <row r="20" spans="1:6" ht="13" customHeight="1" x14ac:dyDescent="0.15">
      <c r="A20" s="181"/>
      <c r="B20" s="13"/>
      <c r="C20" s="220" t="s">
        <v>49</v>
      </c>
      <c r="D20" s="221"/>
      <c r="E20" s="141"/>
      <c r="F20" s="14"/>
    </row>
    <row r="21" spans="1:6" ht="13" customHeight="1" x14ac:dyDescent="0.15">
      <c r="A21" s="181"/>
      <c r="B21" s="13"/>
      <c r="C21" s="220" t="s">
        <v>50</v>
      </c>
      <c r="D21" s="221"/>
      <c r="E21" s="141"/>
      <c r="F21" s="14"/>
    </row>
    <row r="22" spans="1:6" ht="13" customHeight="1" x14ac:dyDescent="0.15">
      <c r="A22" s="181"/>
      <c r="B22" s="13"/>
      <c r="C22" s="220" t="s">
        <v>51</v>
      </c>
      <c r="D22" s="221"/>
      <c r="E22" s="141"/>
      <c r="F22" s="14"/>
    </row>
    <row r="23" spans="1:6" ht="13" customHeight="1" x14ac:dyDescent="0.15">
      <c r="A23" s="181"/>
      <c r="B23" s="13"/>
      <c r="C23" s="220" t="s">
        <v>52</v>
      </c>
      <c r="D23" s="221"/>
      <c r="E23" s="55">
        <f>(E18*E20*E22)+(E19*E21*E22)</f>
        <v>0</v>
      </c>
      <c r="F23" s="14"/>
    </row>
    <row r="24" spans="1:6" ht="13" customHeight="1" x14ac:dyDescent="0.15">
      <c r="A24" s="181"/>
      <c r="B24" s="14"/>
      <c r="C24" s="222" t="s">
        <v>53</v>
      </c>
      <c r="D24" s="223"/>
      <c r="E24" s="221"/>
      <c r="F24" s="14"/>
    </row>
    <row r="25" spans="1:6" ht="13" customHeight="1" x14ac:dyDescent="0.15">
      <c r="A25" s="181"/>
      <c r="B25" s="13"/>
      <c r="C25" s="220" t="s">
        <v>54</v>
      </c>
      <c r="D25" s="221"/>
      <c r="E25" s="54"/>
      <c r="F25" s="14"/>
    </row>
    <row r="26" spans="1:6" ht="13" customHeight="1" x14ac:dyDescent="0.15">
      <c r="A26" s="181"/>
      <c r="B26" s="13"/>
      <c r="C26" s="220" t="s">
        <v>55</v>
      </c>
      <c r="D26" s="221"/>
      <c r="E26" s="144"/>
      <c r="F26" s="14"/>
    </row>
    <row r="27" spans="1:6" ht="13" customHeight="1" x14ac:dyDescent="0.15">
      <c r="A27" s="181"/>
      <c r="B27" s="13"/>
      <c r="C27" s="220" t="s">
        <v>56</v>
      </c>
      <c r="D27" s="221"/>
      <c r="E27" s="144"/>
      <c r="F27" s="14"/>
    </row>
    <row r="28" spans="1:6" ht="12.75" customHeight="1" x14ac:dyDescent="0.15">
      <c r="A28" s="181"/>
      <c r="B28" s="13"/>
      <c r="C28" s="220" t="s">
        <v>57</v>
      </c>
      <c r="D28" s="221"/>
      <c r="E28" s="144"/>
      <c r="F28" s="14"/>
    </row>
    <row r="29" spans="1:6" ht="13" customHeight="1" x14ac:dyDescent="0.15">
      <c r="A29" s="181"/>
      <c r="B29" s="13"/>
      <c r="C29" s="224" t="s">
        <v>58</v>
      </c>
      <c r="D29" s="225"/>
      <c r="E29" s="135">
        <f>E28*E25</f>
        <v>0</v>
      </c>
      <c r="F29" s="14"/>
    </row>
    <row r="30" spans="1:6" ht="13" customHeight="1" thickBot="1" x14ac:dyDescent="0.2">
      <c r="A30" s="181"/>
      <c r="B30" s="50"/>
      <c r="C30" s="317" t="s">
        <v>47</v>
      </c>
      <c r="D30" s="323"/>
      <c r="E30" s="318">
        <f>E23+E29</f>
        <v>0</v>
      </c>
      <c r="F30" s="14"/>
    </row>
    <row r="31" spans="1:6" x14ac:dyDescent="0.15">
      <c r="A31" s="181"/>
      <c r="B31" s="14"/>
      <c r="C31" s="14"/>
      <c r="D31" s="15"/>
      <c r="E31" s="15"/>
      <c r="F31" s="14"/>
    </row>
    <row r="32" spans="1:6" x14ac:dyDescent="0.15">
      <c r="A32" s="181"/>
      <c r="B32" s="14"/>
      <c r="C32" s="16" t="s">
        <v>59</v>
      </c>
      <c r="D32" s="17"/>
      <c r="E32" s="18"/>
      <c r="F32" s="14"/>
    </row>
    <row r="33" spans="1:6" ht="13" customHeight="1" x14ac:dyDescent="0.15">
      <c r="A33" s="181"/>
      <c r="B33" s="14"/>
      <c r="C33" s="226" t="s">
        <v>60</v>
      </c>
      <c r="D33" s="223"/>
      <c r="E33" s="221"/>
      <c r="F33" s="14"/>
    </row>
    <row r="34" spans="1:6" ht="13" customHeight="1" x14ac:dyDescent="0.15">
      <c r="A34" s="181"/>
      <c r="B34" s="14"/>
      <c r="C34" s="220" t="s">
        <v>26</v>
      </c>
      <c r="D34" s="221"/>
      <c r="E34" s="53"/>
      <c r="F34" s="14"/>
    </row>
    <row r="35" spans="1:6" ht="27.75" customHeight="1" x14ac:dyDescent="0.15">
      <c r="A35" s="181"/>
      <c r="B35" s="14"/>
      <c r="C35" s="227" t="s">
        <v>61</v>
      </c>
      <c r="D35" s="228"/>
      <c r="E35" s="53"/>
      <c r="F35" s="14"/>
    </row>
    <row r="36" spans="1:6" ht="24.75" customHeight="1" x14ac:dyDescent="0.15">
      <c r="A36" s="181"/>
      <c r="B36" s="14"/>
      <c r="C36" s="227" t="s">
        <v>62</v>
      </c>
      <c r="D36" s="228"/>
      <c r="E36" s="53"/>
      <c r="F36" s="14"/>
    </row>
    <row r="37" spans="1:6" ht="13" customHeight="1" x14ac:dyDescent="0.15">
      <c r="A37" s="181"/>
      <c r="B37" s="13"/>
      <c r="C37" s="220" t="s">
        <v>63</v>
      </c>
      <c r="D37" s="221"/>
      <c r="E37" s="143"/>
      <c r="F37" s="14"/>
    </row>
    <row r="38" spans="1:6" ht="13" customHeight="1" x14ac:dyDescent="0.15">
      <c r="A38" s="181"/>
      <c r="B38" s="13"/>
      <c r="C38" s="220" t="s">
        <v>64</v>
      </c>
      <c r="D38" s="221"/>
      <c r="E38" s="141"/>
      <c r="F38" s="14"/>
    </row>
    <row r="39" spans="1:6" ht="13" customHeight="1" x14ac:dyDescent="0.15">
      <c r="A39" s="181"/>
      <c r="B39" s="13"/>
      <c r="C39" s="220" t="s">
        <v>65</v>
      </c>
      <c r="D39" s="221"/>
      <c r="E39" s="142"/>
      <c r="F39" s="14"/>
    </row>
    <row r="40" spans="1:6" ht="13" customHeight="1" x14ac:dyDescent="0.15">
      <c r="A40" s="181"/>
      <c r="B40" s="14"/>
      <c r="C40" s="220" t="s">
        <v>66</v>
      </c>
      <c r="D40" s="221"/>
      <c r="E40" s="56">
        <f>E36*E37*E38*E39</f>
        <v>0</v>
      </c>
      <c r="F40" s="14"/>
    </row>
    <row r="41" spans="1:6" ht="13" customHeight="1" x14ac:dyDescent="0.15">
      <c r="A41" s="181"/>
      <c r="B41" s="14"/>
      <c r="C41" s="226" t="s">
        <v>67</v>
      </c>
      <c r="D41" s="223"/>
      <c r="E41" s="221"/>
      <c r="F41" s="14"/>
    </row>
    <row r="42" spans="1:6" ht="13" customHeight="1" x14ac:dyDescent="0.15">
      <c r="A42" s="181"/>
      <c r="B42" s="14"/>
      <c r="C42" s="229" t="s">
        <v>28</v>
      </c>
      <c r="D42" s="221"/>
      <c r="E42" s="9"/>
      <c r="F42" s="14"/>
    </row>
    <row r="43" spans="1:6" ht="24" customHeight="1" x14ac:dyDescent="0.15">
      <c r="A43" s="181"/>
      <c r="B43" s="14"/>
      <c r="C43" s="227" t="s">
        <v>68</v>
      </c>
      <c r="D43" s="228"/>
      <c r="E43" s="9"/>
      <c r="F43" s="14"/>
    </row>
    <row r="44" spans="1:6" ht="26.25" customHeight="1" x14ac:dyDescent="0.15">
      <c r="A44" s="181"/>
      <c r="B44" s="14"/>
      <c r="C44" s="227" t="s">
        <v>69</v>
      </c>
      <c r="D44" s="228"/>
      <c r="E44" s="9"/>
      <c r="F44" s="14"/>
    </row>
    <row r="45" spans="1:6" ht="13" customHeight="1" x14ac:dyDescent="0.15">
      <c r="A45" s="181"/>
      <c r="B45" s="13"/>
      <c r="C45" s="220" t="s">
        <v>70</v>
      </c>
      <c r="D45" s="221"/>
      <c r="E45" s="147"/>
      <c r="F45" s="14"/>
    </row>
    <row r="46" spans="1:6" ht="13" customHeight="1" x14ac:dyDescent="0.15">
      <c r="A46" s="181"/>
      <c r="B46" s="13"/>
      <c r="C46" s="220" t="s">
        <v>64</v>
      </c>
      <c r="D46" s="221"/>
      <c r="E46" s="9"/>
      <c r="F46" s="14"/>
    </row>
    <row r="47" spans="1:6" ht="13" customHeight="1" x14ac:dyDescent="0.15">
      <c r="A47" s="181"/>
      <c r="B47" s="13"/>
      <c r="C47" s="220" t="s">
        <v>65</v>
      </c>
      <c r="D47" s="221"/>
      <c r="E47" s="148"/>
      <c r="F47" s="14"/>
    </row>
    <row r="48" spans="1:6" ht="13" customHeight="1" x14ac:dyDescent="0.15">
      <c r="A48" s="181"/>
      <c r="B48" s="13"/>
      <c r="C48" s="217" t="s">
        <v>71</v>
      </c>
      <c r="D48" s="230"/>
      <c r="E48" s="134">
        <f>SUM(E44*E45*E46*E47)</f>
        <v>0</v>
      </c>
      <c r="F48" s="14"/>
    </row>
    <row r="49" spans="1:6" ht="13" customHeight="1" thickBot="1" x14ac:dyDescent="0.2">
      <c r="A49" s="181"/>
      <c r="B49" s="14"/>
      <c r="C49" s="317" t="s">
        <v>59</v>
      </c>
      <c r="D49" s="323"/>
      <c r="E49" s="319">
        <f>E40+E48</f>
        <v>0</v>
      </c>
      <c r="F49" s="14"/>
    </row>
    <row r="50" spans="1:6" ht="14" thickBot="1" x14ac:dyDescent="0.2">
      <c r="A50" s="181"/>
      <c r="B50" s="14"/>
      <c r="C50" s="19"/>
      <c r="D50" s="19"/>
      <c r="E50" s="19"/>
      <c r="F50" s="14"/>
    </row>
    <row r="51" spans="1:6" ht="13" customHeight="1" thickBot="1" x14ac:dyDescent="0.2">
      <c r="A51" s="181"/>
      <c r="B51" s="13"/>
      <c r="C51" s="314" t="s">
        <v>72</v>
      </c>
      <c r="D51" s="315"/>
      <c r="E51" s="316">
        <f>E14+E30+E49</f>
        <v>0</v>
      </c>
      <c r="F51" s="14"/>
    </row>
    <row r="52" spans="1:6" ht="14" thickTop="1" x14ac:dyDescent="0.15">
      <c r="A52" s="181"/>
      <c r="B52" s="14"/>
      <c r="C52" s="14"/>
      <c r="D52" s="14"/>
      <c r="E52" s="14"/>
      <c r="F52" s="14"/>
    </row>
    <row r="53" spans="1:6" x14ac:dyDescent="0.15">
      <c r="A53" s="181"/>
      <c r="B53" s="181"/>
      <c r="C53" s="181"/>
      <c r="D53" s="181"/>
      <c r="E53" s="181"/>
      <c r="F53" s="181"/>
    </row>
    <row r="54" spans="1:6" x14ac:dyDescent="0.15">
      <c r="A54" s="181"/>
      <c r="B54" s="7"/>
      <c r="C54" s="8"/>
      <c r="D54" s="8"/>
      <c r="E54" s="8"/>
      <c r="F54" s="8"/>
    </row>
    <row r="55" spans="1:6" x14ac:dyDescent="0.15">
      <c r="A55" s="181"/>
      <c r="B55" s="7" t="s">
        <v>15</v>
      </c>
      <c r="C55" s="8"/>
      <c r="D55" s="8"/>
      <c r="E55" s="8"/>
      <c r="F55" s="8"/>
    </row>
    <row r="56" spans="1:6" x14ac:dyDescent="0.15">
      <c r="A56" s="181"/>
      <c r="B56" s="8"/>
      <c r="C56" s="8"/>
      <c r="D56" s="8"/>
      <c r="E56" s="8"/>
      <c r="F56" s="8"/>
    </row>
    <row r="57" spans="1:6" ht="13" customHeight="1" x14ac:dyDescent="0.15">
      <c r="A57" s="181"/>
      <c r="B57" s="8"/>
      <c r="C57" s="231" t="s">
        <v>73</v>
      </c>
      <c r="D57" s="232"/>
      <c r="E57" s="233"/>
      <c r="F57" s="8"/>
    </row>
    <row r="58" spans="1:6" ht="13" customHeight="1" x14ac:dyDescent="0.15">
      <c r="A58" s="181"/>
      <c r="B58" s="8"/>
      <c r="C58" s="234" t="s">
        <v>74</v>
      </c>
      <c r="D58" s="235"/>
      <c r="E58" s="228"/>
      <c r="F58" s="8"/>
    </row>
    <row r="59" spans="1:6" ht="13" customHeight="1" x14ac:dyDescent="0.15">
      <c r="A59" s="181"/>
      <c r="B59" s="8"/>
      <c r="C59" s="224" t="s">
        <v>75</v>
      </c>
      <c r="D59" s="225"/>
      <c r="E59" s="21"/>
      <c r="F59" s="8"/>
    </row>
    <row r="60" spans="1:6" ht="25.5" customHeight="1" x14ac:dyDescent="0.15">
      <c r="A60" s="181"/>
      <c r="B60" s="8"/>
      <c r="C60" s="227" t="s">
        <v>76</v>
      </c>
      <c r="D60" s="228"/>
      <c r="E60" s="21"/>
      <c r="F60" s="8"/>
    </row>
    <row r="61" spans="1:6" ht="24" customHeight="1" x14ac:dyDescent="0.15">
      <c r="A61" s="181"/>
      <c r="B61" s="8"/>
      <c r="C61" s="227" t="s">
        <v>77</v>
      </c>
      <c r="D61" s="228"/>
      <c r="E61" s="21"/>
      <c r="F61" s="8"/>
    </row>
    <row r="62" spans="1:6" ht="13.5" customHeight="1" x14ac:dyDescent="0.15">
      <c r="A62" s="181"/>
      <c r="B62" s="8"/>
      <c r="C62" s="227" t="s">
        <v>78</v>
      </c>
      <c r="D62" s="228"/>
      <c r="E62" s="158"/>
      <c r="F62" s="8"/>
    </row>
    <row r="63" spans="1:6" ht="13" customHeight="1" x14ac:dyDescent="0.15">
      <c r="A63" s="181"/>
      <c r="B63" s="8"/>
      <c r="C63" s="227" t="s">
        <v>79</v>
      </c>
      <c r="D63" s="228"/>
      <c r="E63" s="21"/>
      <c r="F63" s="8"/>
    </row>
    <row r="64" spans="1:6" ht="13" customHeight="1" x14ac:dyDescent="0.15">
      <c r="A64" s="181"/>
      <c r="B64" s="8"/>
      <c r="C64" s="224" t="s">
        <v>80</v>
      </c>
      <c r="D64" s="225"/>
      <c r="E64" s="309"/>
      <c r="F64" s="8"/>
    </row>
    <row r="65" spans="1:6" ht="13" customHeight="1" thickBot="1" x14ac:dyDescent="0.2">
      <c r="A65" s="181"/>
      <c r="B65" s="8"/>
      <c r="C65" s="317" t="s">
        <v>81</v>
      </c>
      <c r="D65" s="323"/>
      <c r="E65" s="326">
        <f>E61*E62*E64*E63</f>
        <v>0</v>
      </c>
      <c r="F65" s="8"/>
    </row>
    <row r="66" spans="1:6" x14ac:dyDescent="0.15">
      <c r="A66" s="181"/>
      <c r="B66" s="8"/>
      <c r="C66" s="8"/>
      <c r="D66" s="8"/>
      <c r="E66" s="8"/>
      <c r="F66" s="8"/>
    </row>
    <row r="67" spans="1:6" x14ac:dyDescent="0.15">
      <c r="A67" s="181"/>
      <c r="B67" s="8"/>
      <c r="C67" s="37" t="s">
        <v>82</v>
      </c>
      <c r="D67" s="22"/>
      <c r="E67" s="23"/>
      <c r="F67" s="8"/>
    </row>
    <row r="68" spans="1:6" ht="13" customHeight="1" x14ac:dyDescent="0.15">
      <c r="A68" s="181"/>
      <c r="B68" s="8"/>
      <c r="C68" s="226" t="s">
        <v>83</v>
      </c>
      <c r="D68" s="223"/>
      <c r="E68" s="221"/>
      <c r="F68" s="8"/>
    </row>
    <row r="69" spans="1:6" ht="13" customHeight="1" x14ac:dyDescent="0.15">
      <c r="A69" s="181"/>
      <c r="B69" s="8"/>
      <c r="C69" s="229" t="s">
        <v>28</v>
      </c>
      <c r="D69" s="221"/>
      <c r="E69" s="24"/>
      <c r="F69" s="8"/>
    </row>
    <row r="70" spans="1:6" ht="13" customHeight="1" x14ac:dyDescent="0.15">
      <c r="A70" s="181"/>
      <c r="B70" s="8"/>
      <c r="C70" s="224" t="s">
        <v>84</v>
      </c>
      <c r="D70" s="225"/>
      <c r="E70" s="24"/>
      <c r="F70" s="8"/>
    </row>
    <row r="71" spans="1:6" ht="14" x14ac:dyDescent="0.15">
      <c r="A71" s="181"/>
      <c r="B71" s="8"/>
      <c r="C71" s="104" t="s">
        <v>85</v>
      </c>
      <c r="D71" s="25"/>
      <c r="E71" s="24"/>
      <c r="F71" s="8"/>
    </row>
    <row r="72" spans="1:6" ht="13" customHeight="1" x14ac:dyDescent="0.15">
      <c r="A72" s="181"/>
      <c r="B72" s="8"/>
      <c r="C72" s="229" t="s">
        <v>86</v>
      </c>
      <c r="D72" s="221"/>
      <c r="E72" s="159"/>
      <c r="F72" s="8"/>
    </row>
    <row r="73" spans="1:6" ht="13" customHeight="1" x14ac:dyDescent="0.15">
      <c r="A73" s="181"/>
      <c r="B73" s="8"/>
      <c r="C73" s="227" t="s">
        <v>87</v>
      </c>
      <c r="D73" s="228"/>
      <c r="E73" s="24"/>
      <c r="F73" s="8"/>
    </row>
    <row r="74" spans="1:6" ht="13" customHeight="1" x14ac:dyDescent="0.15">
      <c r="A74" s="181"/>
      <c r="B74" s="8"/>
      <c r="C74" s="227" t="s">
        <v>88</v>
      </c>
      <c r="D74" s="228"/>
      <c r="E74" s="24"/>
      <c r="F74" s="8"/>
    </row>
    <row r="75" spans="1:6" ht="13" customHeight="1" x14ac:dyDescent="0.15">
      <c r="A75" s="181"/>
      <c r="B75" s="8"/>
      <c r="C75" s="227" t="s">
        <v>89</v>
      </c>
      <c r="D75" s="228"/>
      <c r="E75" s="26">
        <f>E71*E72*E73*E74</f>
        <v>0</v>
      </c>
      <c r="F75" s="8"/>
    </row>
    <row r="76" spans="1:6" ht="13" customHeight="1" x14ac:dyDescent="0.15">
      <c r="A76" s="181"/>
      <c r="B76" s="8"/>
      <c r="C76" s="226" t="s">
        <v>90</v>
      </c>
      <c r="D76" s="223"/>
      <c r="E76" s="221"/>
      <c r="F76" s="8"/>
    </row>
    <row r="77" spans="1:6" ht="13" customHeight="1" x14ac:dyDescent="0.15">
      <c r="A77" s="181"/>
      <c r="B77" s="8"/>
      <c r="C77" s="220" t="s">
        <v>26</v>
      </c>
      <c r="D77" s="221"/>
      <c r="E77" s="24"/>
      <c r="F77" s="8"/>
    </row>
    <row r="78" spans="1:6" ht="13" customHeight="1" x14ac:dyDescent="0.15">
      <c r="A78" s="181"/>
      <c r="B78" s="8"/>
      <c r="C78" s="227" t="s">
        <v>41</v>
      </c>
      <c r="D78" s="228"/>
      <c r="E78" s="24"/>
      <c r="F78" s="8"/>
    </row>
    <row r="79" spans="1:6" ht="13" customHeight="1" x14ac:dyDescent="0.15">
      <c r="A79" s="181"/>
      <c r="B79" s="8"/>
      <c r="C79" s="227" t="s">
        <v>42</v>
      </c>
      <c r="D79" s="228"/>
      <c r="E79" s="24"/>
      <c r="F79" s="8"/>
    </row>
    <row r="80" spans="1:6" ht="13" customHeight="1" x14ac:dyDescent="0.15">
      <c r="A80" s="181"/>
      <c r="B80" s="8"/>
      <c r="C80" s="227" t="s">
        <v>91</v>
      </c>
      <c r="D80" s="228"/>
      <c r="E80" s="159"/>
      <c r="F80" s="8"/>
    </row>
    <row r="81" spans="1:6" ht="13" customHeight="1" x14ac:dyDescent="0.15">
      <c r="A81" s="181"/>
      <c r="B81" s="8"/>
      <c r="C81" s="227" t="s">
        <v>92</v>
      </c>
      <c r="D81" s="228"/>
      <c r="E81" s="160"/>
      <c r="F81" s="8"/>
    </row>
    <row r="82" spans="1:6" ht="13" customHeight="1" x14ac:dyDescent="0.15">
      <c r="A82" s="181"/>
      <c r="B82" s="8"/>
      <c r="C82" s="227" t="s">
        <v>93</v>
      </c>
      <c r="D82" s="228"/>
      <c r="E82" s="24"/>
      <c r="F82" s="8"/>
    </row>
    <row r="83" spans="1:6" ht="13" customHeight="1" x14ac:dyDescent="0.15">
      <c r="A83" s="181"/>
      <c r="B83" s="8"/>
      <c r="C83" s="227" t="s">
        <v>94</v>
      </c>
      <c r="D83" s="228"/>
      <c r="E83" s="160"/>
      <c r="F83" s="8"/>
    </row>
    <row r="84" spans="1:6" ht="13" customHeight="1" x14ac:dyDescent="0.15">
      <c r="A84" s="181"/>
      <c r="B84" s="8"/>
      <c r="C84" s="224" t="s">
        <v>95</v>
      </c>
      <c r="D84" s="225"/>
      <c r="E84" s="28">
        <f>SUM(E79*E80*E81 + E79*E80*E82*E83)</f>
        <v>0</v>
      </c>
      <c r="F84" s="8"/>
    </row>
    <row r="85" spans="1:6" ht="13" customHeight="1" thickBot="1" x14ac:dyDescent="0.2">
      <c r="A85" s="181"/>
      <c r="B85" s="8"/>
      <c r="C85" s="317" t="s">
        <v>82</v>
      </c>
      <c r="D85" s="323"/>
      <c r="E85" s="326">
        <f>E75+E84</f>
        <v>0</v>
      </c>
      <c r="F85" s="8"/>
    </row>
    <row r="86" spans="1:6" ht="14" thickBot="1" x14ac:dyDescent="0.2">
      <c r="A86" s="181"/>
      <c r="B86" s="8"/>
      <c r="C86" s="110"/>
      <c r="D86" s="111"/>
      <c r="E86" s="110"/>
      <c r="F86" s="8"/>
    </row>
    <row r="87" spans="1:6" ht="13" customHeight="1" thickBot="1" x14ac:dyDescent="0.2">
      <c r="A87" s="181"/>
      <c r="B87" s="8"/>
      <c r="C87" s="244" t="s">
        <v>96</v>
      </c>
      <c r="D87" s="245"/>
      <c r="E87" s="327">
        <f>E65+E85</f>
        <v>0</v>
      </c>
      <c r="F87" s="8"/>
    </row>
    <row r="88" spans="1:6" ht="14" thickTop="1" x14ac:dyDescent="0.15">
      <c r="A88" s="181"/>
      <c r="B88" s="8"/>
      <c r="C88" s="246"/>
      <c r="D88" s="203"/>
      <c r="E88" s="182"/>
      <c r="F88" s="8"/>
    </row>
    <row r="89" spans="1:6" x14ac:dyDescent="0.15">
      <c r="A89" s="181"/>
      <c r="B89" s="181"/>
      <c r="C89" s="181"/>
      <c r="D89" s="181"/>
      <c r="E89" s="181"/>
      <c r="F89" s="181"/>
    </row>
    <row r="90" spans="1:6" x14ac:dyDescent="0.15">
      <c r="A90" s="181"/>
      <c r="B90" s="7"/>
      <c r="C90" s="8"/>
      <c r="D90" s="8"/>
      <c r="E90" s="8"/>
      <c r="F90" s="8"/>
    </row>
    <row r="91" spans="1:6" x14ac:dyDescent="0.15">
      <c r="A91" s="181"/>
      <c r="B91" s="7" t="s">
        <v>97</v>
      </c>
      <c r="C91" s="8"/>
      <c r="D91" s="8"/>
      <c r="E91" s="8"/>
      <c r="F91" s="8"/>
    </row>
    <row r="92" spans="1:6" x14ac:dyDescent="0.15">
      <c r="A92" s="181"/>
      <c r="B92" s="8"/>
      <c r="C92" s="8"/>
      <c r="D92" s="8"/>
      <c r="E92" s="8"/>
      <c r="F92" s="8"/>
    </row>
    <row r="93" spans="1:6" x14ac:dyDescent="0.15">
      <c r="A93" s="181"/>
      <c r="B93" s="8"/>
      <c r="C93" s="109" t="s">
        <v>98</v>
      </c>
      <c r="D93" s="22"/>
      <c r="E93" s="23"/>
      <c r="F93" s="8"/>
    </row>
    <row r="94" spans="1:6" ht="13" customHeight="1" x14ac:dyDescent="0.15">
      <c r="A94" s="181"/>
      <c r="B94" s="8"/>
      <c r="C94" s="226" t="s">
        <v>231</v>
      </c>
      <c r="D94" s="223"/>
      <c r="E94" s="221"/>
      <c r="F94" s="8"/>
    </row>
    <row r="95" spans="1:6" ht="13" customHeight="1" x14ac:dyDescent="0.15">
      <c r="A95" s="181"/>
      <c r="B95" s="8"/>
      <c r="C95" s="247" t="s">
        <v>228</v>
      </c>
      <c r="D95" s="248"/>
      <c r="E95" s="117"/>
      <c r="F95" s="7"/>
    </row>
    <row r="96" spans="1:6" ht="13" customHeight="1" x14ac:dyDescent="0.15">
      <c r="A96" s="181"/>
      <c r="B96" s="8"/>
      <c r="C96" s="247" t="s">
        <v>229</v>
      </c>
      <c r="D96" s="248"/>
      <c r="E96" s="118"/>
      <c r="F96" s="7"/>
    </row>
    <row r="97" spans="1:6" ht="13" customHeight="1" x14ac:dyDescent="0.15">
      <c r="A97" s="181"/>
      <c r="B97" s="8"/>
      <c r="C97" s="247" t="s">
        <v>99</v>
      </c>
      <c r="D97" s="248"/>
      <c r="E97" s="118"/>
      <c r="F97" s="7"/>
    </row>
    <row r="98" spans="1:6" ht="13" customHeight="1" x14ac:dyDescent="0.15">
      <c r="A98" s="181"/>
      <c r="B98" s="8"/>
      <c r="C98" s="249" t="s">
        <v>100</v>
      </c>
      <c r="D98" s="250"/>
      <c r="E98" s="183"/>
      <c r="F98" s="8"/>
    </row>
    <row r="99" spans="1:6" ht="13" customHeight="1" x14ac:dyDescent="0.15">
      <c r="A99" s="181"/>
      <c r="B99" s="8"/>
      <c r="C99" s="247" t="s">
        <v>101</v>
      </c>
      <c r="D99" s="248"/>
      <c r="E99" s="117"/>
      <c r="F99" s="8"/>
    </row>
    <row r="100" spans="1:6" ht="13" customHeight="1" x14ac:dyDescent="0.15">
      <c r="A100" s="181"/>
      <c r="B100" s="8"/>
      <c r="C100" s="247" t="s">
        <v>102</v>
      </c>
      <c r="D100" s="248"/>
      <c r="E100" s="119"/>
      <c r="F100" s="8"/>
    </row>
    <row r="101" spans="1:6" ht="13" customHeight="1" x14ac:dyDescent="0.15">
      <c r="A101" s="181"/>
      <c r="B101" s="8"/>
      <c r="C101" s="249" t="s">
        <v>103</v>
      </c>
      <c r="D101" s="250"/>
      <c r="E101" s="184"/>
      <c r="F101" s="32"/>
    </row>
    <row r="102" spans="1:6" ht="13" customHeight="1" x14ac:dyDescent="0.15">
      <c r="A102" s="181"/>
      <c r="B102" s="8"/>
      <c r="C102" s="264" t="s">
        <v>104</v>
      </c>
      <c r="D102" s="265"/>
      <c r="E102" s="328">
        <f>SUM(E100*E99*E98*E101)</f>
        <v>0</v>
      </c>
      <c r="F102" s="32"/>
    </row>
    <row r="103" spans="1:6" ht="13" customHeight="1" x14ac:dyDescent="0.15">
      <c r="A103" s="181"/>
      <c r="B103" s="8"/>
      <c r="C103" s="264" t="s">
        <v>230</v>
      </c>
      <c r="D103" s="265"/>
      <c r="E103" s="328">
        <f>SUM(E101*E100*E99)</f>
        <v>0</v>
      </c>
      <c r="F103" s="32"/>
    </row>
    <row r="104" spans="1:6" ht="14" thickBot="1" x14ac:dyDescent="0.2">
      <c r="A104" s="181"/>
      <c r="B104" s="8"/>
      <c r="C104" s="320" t="s">
        <v>215</v>
      </c>
      <c r="D104" s="324"/>
      <c r="E104" s="329">
        <f>SUM(E102*E97)</f>
        <v>0</v>
      </c>
      <c r="F104" s="32"/>
    </row>
    <row r="105" spans="1:6" x14ac:dyDescent="0.15">
      <c r="A105" s="181"/>
      <c r="B105" s="8"/>
      <c r="C105" s="32"/>
      <c r="D105" s="112"/>
      <c r="E105" s="112"/>
      <c r="F105" s="32"/>
    </row>
    <row r="106" spans="1:6" x14ac:dyDescent="0.15">
      <c r="A106" s="181"/>
      <c r="B106" s="8"/>
      <c r="C106" s="37" t="s">
        <v>105</v>
      </c>
      <c r="D106" s="22"/>
      <c r="E106" s="23"/>
      <c r="F106" s="32"/>
    </row>
    <row r="107" spans="1:6" ht="13" customHeight="1" x14ac:dyDescent="0.15">
      <c r="A107" s="181"/>
      <c r="B107" s="8"/>
      <c r="C107" s="255" t="s">
        <v>232</v>
      </c>
      <c r="D107" s="203"/>
      <c r="E107" s="230"/>
      <c r="F107" s="32"/>
    </row>
    <row r="108" spans="1:6" ht="13" customHeight="1" x14ac:dyDescent="0.15">
      <c r="A108" s="181"/>
      <c r="B108" s="8"/>
      <c r="C108" s="247" t="s">
        <v>228</v>
      </c>
      <c r="D108" s="248"/>
      <c r="E108" s="117"/>
      <c r="F108" s="32"/>
    </row>
    <row r="109" spans="1:6" ht="13" customHeight="1" x14ac:dyDescent="0.15">
      <c r="A109" s="181"/>
      <c r="B109" s="8"/>
      <c r="C109" s="247" t="s">
        <v>233</v>
      </c>
      <c r="D109" s="248"/>
      <c r="E109" s="118"/>
      <c r="F109" s="32"/>
    </row>
    <row r="110" spans="1:6" ht="13" customHeight="1" x14ac:dyDescent="0.15">
      <c r="A110" s="181"/>
      <c r="B110" s="8"/>
      <c r="C110" s="247" t="s">
        <v>99</v>
      </c>
      <c r="D110" s="248"/>
      <c r="E110" s="118"/>
      <c r="F110" s="32"/>
    </row>
    <row r="111" spans="1:6" ht="13" customHeight="1" x14ac:dyDescent="0.15">
      <c r="A111" s="181"/>
      <c r="B111" s="8"/>
      <c r="C111" s="242" t="s">
        <v>106</v>
      </c>
      <c r="D111" s="243"/>
      <c r="E111" s="185"/>
      <c r="F111" s="32"/>
    </row>
    <row r="112" spans="1:6" ht="13" customHeight="1" x14ac:dyDescent="0.15">
      <c r="A112" s="181"/>
      <c r="B112" s="8"/>
      <c r="C112" s="242" t="s">
        <v>107</v>
      </c>
      <c r="D112" s="243"/>
      <c r="E112" s="120"/>
      <c r="F112" s="32"/>
    </row>
    <row r="113" spans="1:6" ht="13" customHeight="1" x14ac:dyDescent="0.15">
      <c r="A113" s="181"/>
      <c r="B113" s="8"/>
      <c r="C113" s="242" t="s">
        <v>108</v>
      </c>
      <c r="D113" s="243"/>
      <c r="E113" s="121"/>
      <c r="F113" s="32"/>
    </row>
    <row r="114" spans="1:6" ht="13" customHeight="1" x14ac:dyDescent="0.15">
      <c r="A114" s="181"/>
      <c r="B114" s="8"/>
      <c r="C114" s="258" t="s">
        <v>234</v>
      </c>
      <c r="D114" s="259"/>
      <c r="E114" s="330">
        <f>SUM(E111*E112*E113)</f>
        <v>0</v>
      </c>
      <c r="F114" s="32"/>
    </row>
    <row r="115" spans="1:6" ht="13" customHeight="1" x14ac:dyDescent="0.15">
      <c r="A115" s="181"/>
      <c r="B115" s="8"/>
      <c r="C115" s="258" t="s">
        <v>235</v>
      </c>
      <c r="D115" s="259"/>
      <c r="E115" s="330">
        <f>SUM(E113*E112)</f>
        <v>0</v>
      </c>
      <c r="F115" s="8"/>
    </row>
    <row r="116" spans="1:6" ht="13" customHeight="1" x14ac:dyDescent="0.15">
      <c r="A116" s="181"/>
      <c r="B116" s="8"/>
      <c r="C116" s="267" t="s">
        <v>236</v>
      </c>
      <c r="D116" s="268"/>
      <c r="E116" s="331">
        <f>SUM(E114*E110)</f>
        <v>0</v>
      </c>
      <c r="F116" s="8"/>
    </row>
    <row r="117" spans="1:6" ht="13" customHeight="1" x14ac:dyDescent="0.15">
      <c r="A117" s="181"/>
      <c r="B117" s="8"/>
      <c r="C117" s="255" t="s">
        <v>237</v>
      </c>
      <c r="D117" s="203"/>
      <c r="E117" s="230"/>
      <c r="F117" s="8"/>
    </row>
    <row r="118" spans="1:6" ht="13" customHeight="1" x14ac:dyDescent="0.15">
      <c r="A118" s="181"/>
      <c r="B118" s="8"/>
      <c r="C118" s="247" t="s">
        <v>238</v>
      </c>
      <c r="D118" s="248"/>
      <c r="E118" s="117"/>
      <c r="F118" s="8"/>
    </row>
    <row r="119" spans="1:6" ht="13" customHeight="1" x14ac:dyDescent="0.15">
      <c r="A119" s="181"/>
      <c r="B119" s="8"/>
      <c r="C119" s="262" t="s">
        <v>233</v>
      </c>
      <c r="D119" s="263"/>
      <c r="E119" s="122"/>
      <c r="F119" s="8"/>
    </row>
    <row r="120" spans="1:6" ht="13" customHeight="1" x14ac:dyDescent="0.15">
      <c r="A120" s="181"/>
      <c r="B120" s="8"/>
      <c r="C120" s="262" t="s">
        <v>118</v>
      </c>
      <c r="D120" s="263"/>
      <c r="E120" s="123"/>
      <c r="F120" s="8"/>
    </row>
    <row r="121" spans="1:6" ht="13" customHeight="1" x14ac:dyDescent="0.15">
      <c r="A121" s="181"/>
      <c r="B121" s="8"/>
      <c r="C121" s="242" t="s">
        <v>109</v>
      </c>
      <c r="D121" s="243"/>
      <c r="E121" s="186"/>
      <c r="F121" s="8"/>
    </row>
    <row r="122" spans="1:6" ht="13" customHeight="1" x14ac:dyDescent="0.15">
      <c r="A122" s="181"/>
      <c r="B122" s="8"/>
      <c r="C122" s="242" t="s">
        <v>110</v>
      </c>
      <c r="D122" s="243"/>
      <c r="E122" s="124"/>
      <c r="F122" s="8"/>
    </row>
    <row r="123" spans="1:6" ht="13" customHeight="1" x14ac:dyDescent="0.15">
      <c r="A123" s="181"/>
      <c r="B123" s="8"/>
      <c r="C123" s="258" t="s">
        <v>239</v>
      </c>
      <c r="D123" s="259"/>
      <c r="E123" s="332">
        <f>SUM(E122*E121)</f>
        <v>0</v>
      </c>
      <c r="F123" s="8"/>
    </row>
    <row r="124" spans="1:6" ht="13" customHeight="1" x14ac:dyDescent="0.15">
      <c r="A124" s="181"/>
      <c r="B124" s="8"/>
      <c r="C124" s="258" t="s">
        <v>240</v>
      </c>
      <c r="D124" s="259"/>
      <c r="E124" s="332">
        <f>SUM(E122)</f>
        <v>0</v>
      </c>
      <c r="F124" s="8"/>
    </row>
    <row r="125" spans="1:6" ht="13" customHeight="1" x14ac:dyDescent="0.15">
      <c r="A125" s="181"/>
      <c r="B125" s="8"/>
      <c r="C125" s="260" t="s">
        <v>241</v>
      </c>
      <c r="D125" s="261"/>
      <c r="E125" s="333">
        <f>SUM(E123*E120)</f>
        <v>0</v>
      </c>
      <c r="F125" s="8"/>
    </row>
    <row r="126" spans="1:6" ht="13" customHeight="1" thickBot="1" x14ac:dyDescent="0.2">
      <c r="A126" s="181"/>
      <c r="B126" s="32"/>
      <c r="C126" s="317" t="s">
        <v>242</v>
      </c>
      <c r="D126" s="325"/>
      <c r="E126" s="334">
        <f>SUM(E116+E125)</f>
        <v>0</v>
      </c>
      <c r="F126" s="8"/>
    </row>
    <row r="127" spans="1:6" x14ac:dyDescent="0.15">
      <c r="A127" s="181"/>
      <c r="B127" s="32"/>
      <c r="C127" s="112"/>
      <c r="D127" s="112"/>
      <c r="E127" s="32"/>
      <c r="F127" s="8"/>
    </row>
    <row r="128" spans="1:6" x14ac:dyDescent="0.15">
      <c r="A128" s="181"/>
      <c r="B128" s="32"/>
      <c r="C128" s="37" t="s">
        <v>111</v>
      </c>
      <c r="D128" s="22"/>
      <c r="E128" s="23"/>
      <c r="F128" s="8"/>
    </row>
    <row r="129" spans="1:6" ht="13" customHeight="1" x14ac:dyDescent="0.15">
      <c r="A129" s="181"/>
      <c r="B129" s="32"/>
      <c r="C129" s="255" t="s">
        <v>244</v>
      </c>
      <c r="D129" s="203"/>
      <c r="E129" s="230"/>
      <c r="F129" s="8"/>
    </row>
    <row r="130" spans="1:6" ht="13" customHeight="1" x14ac:dyDescent="0.15">
      <c r="A130" s="181"/>
      <c r="B130" s="32"/>
      <c r="C130" s="247" t="s">
        <v>228</v>
      </c>
      <c r="D130" s="248"/>
      <c r="E130" s="113"/>
      <c r="F130" s="8"/>
    </row>
    <row r="131" spans="1:6" ht="13" customHeight="1" x14ac:dyDescent="0.15">
      <c r="A131" s="181"/>
      <c r="B131" s="32"/>
      <c r="C131" s="262" t="s">
        <v>233</v>
      </c>
      <c r="D131" s="263"/>
      <c r="E131" s="125"/>
      <c r="F131" s="8"/>
    </row>
    <row r="132" spans="1:6" ht="13" customHeight="1" x14ac:dyDescent="0.15">
      <c r="A132" s="181"/>
      <c r="B132" s="32"/>
      <c r="C132" s="262" t="s">
        <v>99</v>
      </c>
      <c r="D132" s="263"/>
      <c r="E132" s="126"/>
      <c r="F132" s="8"/>
    </row>
    <row r="133" spans="1:6" ht="13" customHeight="1" x14ac:dyDescent="0.15">
      <c r="A133" s="181"/>
      <c r="B133" s="32"/>
      <c r="C133" s="242" t="s">
        <v>112</v>
      </c>
      <c r="D133" s="243"/>
      <c r="E133" s="186"/>
      <c r="F133" s="8"/>
    </row>
    <row r="134" spans="1:6" ht="13" customHeight="1" x14ac:dyDescent="0.15">
      <c r="A134" s="181"/>
      <c r="B134" s="32"/>
      <c r="C134" s="242" t="s">
        <v>113</v>
      </c>
      <c r="D134" s="243"/>
      <c r="E134" s="120"/>
      <c r="F134" s="8"/>
    </row>
    <row r="135" spans="1:6" ht="13" customHeight="1" x14ac:dyDescent="0.15">
      <c r="A135" s="181"/>
      <c r="B135" s="32"/>
      <c r="C135" s="242" t="s">
        <v>114</v>
      </c>
      <c r="D135" s="243"/>
      <c r="E135" s="124"/>
      <c r="F135" s="32"/>
    </row>
    <row r="136" spans="1:6" x14ac:dyDescent="0.15">
      <c r="A136" s="181"/>
      <c r="B136" s="32"/>
      <c r="C136" s="132" t="s">
        <v>115</v>
      </c>
      <c r="D136" s="133"/>
      <c r="E136" s="332">
        <f>SUM(E133*E134*E135)</f>
        <v>0</v>
      </c>
      <c r="F136" s="32"/>
    </row>
    <row r="137" spans="1:6" ht="13" customHeight="1" x14ac:dyDescent="0.15">
      <c r="A137" s="181"/>
      <c r="B137" s="32"/>
      <c r="C137" s="256" t="s">
        <v>116</v>
      </c>
      <c r="D137" s="257"/>
      <c r="E137" s="335">
        <f>SUM(E135*E134)</f>
        <v>0</v>
      </c>
      <c r="F137" s="32"/>
    </row>
    <row r="138" spans="1:6" ht="14" thickBot="1" x14ac:dyDescent="0.2">
      <c r="A138" s="181"/>
      <c r="B138" s="32"/>
      <c r="C138" s="321" t="s">
        <v>243</v>
      </c>
      <c r="D138" s="325"/>
      <c r="E138" s="334">
        <f>SUM(E136*E132)</f>
        <v>0</v>
      </c>
      <c r="F138" s="32"/>
    </row>
    <row r="139" spans="1:6" x14ac:dyDescent="0.15">
      <c r="A139" s="181"/>
      <c r="B139" s="32"/>
      <c r="C139" s="32"/>
      <c r="D139" s="32"/>
      <c r="E139" s="32"/>
      <c r="F139" s="32"/>
    </row>
    <row r="140" spans="1:6" x14ac:dyDescent="0.15">
      <c r="A140" s="181"/>
      <c r="B140" s="32"/>
      <c r="C140" s="37" t="s">
        <v>117</v>
      </c>
      <c r="D140" s="22"/>
      <c r="E140" s="23"/>
      <c r="F140" s="32"/>
    </row>
    <row r="141" spans="1:6" ht="13" customHeight="1" x14ac:dyDescent="0.15">
      <c r="A141" s="181"/>
      <c r="B141" s="32"/>
      <c r="C141" s="255" t="s">
        <v>245</v>
      </c>
      <c r="D141" s="203"/>
      <c r="E141" s="230"/>
      <c r="F141" s="32"/>
    </row>
    <row r="142" spans="1:6" ht="13" customHeight="1" x14ac:dyDescent="0.15">
      <c r="A142" s="181"/>
      <c r="B142" s="32"/>
      <c r="C142" s="247" t="s">
        <v>228</v>
      </c>
      <c r="D142" s="248"/>
      <c r="E142" s="113"/>
      <c r="F142" s="32"/>
    </row>
    <row r="143" spans="1:6" ht="13" customHeight="1" x14ac:dyDescent="0.15">
      <c r="A143" s="181"/>
      <c r="B143" s="32"/>
      <c r="C143" s="242" t="s">
        <v>246</v>
      </c>
      <c r="D143" s="243"/>
      <c r="E143" s="127"/>
      <c r="F143" s="34"/>
    </row>
    <row r="144" spans="1:6" ht="13" customHeight="1" x14ac:dyDescent="0.15">
      <c r="A144" s="181"/>
      <c r="B144" s="32"/>
      <c r="C144" s="242" t="s">
        <v>118</v>
      </c>
      <c r="D144" s="243"/>
      <c r="E144" s="115"/>
      <c r="F144" s="32"/>
    </row>
    <row r="145" spans="1:6" ht="13" customHeight="1" x14ac:dyDescent="0.15">
      <c r="A145" s="181"/>
      <c r="B145" s="32"/>
      <c r="C145" s="242" t="s">
        <v>119</v>
      </c>
      <c r="D145" s="243"/>
      <c r="E145" s="187"/>
      <c r="F145" s="32"/>
    </row>
    <row r="146" spans="1:6" ht="13" customHeight="1" x14ac:dyDescent="0.15">
      <c r="A146" s="181"/>
      <c r="B146" s="32"/>
      <c r="C146" s="242" t="s">
        <v>120</v>
      </c>
      <c r="D146" s="243"/>
      <c r="E146" s="186"/>
      <c r="F146" s="32"/>
    </row>
    <row r="147" spans="1:6" ht="13" customHeight="1" x14ac:dyDescent="0.15">
      <c r="A147" s="181"/>
      <c r="B147" s="32"/>
      <c r="C147" s="242" t="s">
        <v>121</v>
      </c>
      <c r="D147" s="243"/>
      <c r="E147" s="128"/>
      <c r="F147" s="32"/>
    </row>
    <row r="148" spans="1:6" ht="13" customHeight="1" x14ac:dyDescent="0.15">
      <c r="A148" s="181"/>
      <c r="B148" s="32"/>
      <c r="C148" s="242" t="s">
        <v>122</v>
      </c>
      <c r="D148" s="243"/>
      <c r="E148" s="124"/>
      <c r="F148" s="32"/>
    </row>
    <row r="149" spans="1:6" ht="13" customHeight="1" x14ac:dyDescent="0.15">
      <c r="A149" s="181"/>
      <c r="B149" s="32"/>
      <c r="C149" s="258" t="s">
        <v>123</v>
      </c>
      <c r="D149" s="259"/>
      <c r="E149" s="332">
        <f>SUM(E145*E146*E147*E148)</f>
        <v>0</v>
      </c>
      <c r="F149" s="32"/>
    </row>
    <row r="150" spans="1:6" ht="13" customHeight="1" x14ac:dyDescent="0.15">
      <c r="A150" s="181"/>
      <c r="B150" s="32"/>
      <c r="C150" s="258" t="s">
        <v>124</v>
      </c>
      <c r="D150" s="259"/>
      <c r="E150" s="332">
        <f>SUM(E148*E147*E146)</f>
        <v>0</v>
      </c>
      <c r="F150" s="32"/>
    </row>
    <row r="151" spans="1:6" ht="13" customHeight="1" x14ac:dyDescent="0.15">
      <c r="A151" s="181"/>
      <c r="B151" s="32"/>
      <c r="C151" s="258" t="s">
        <v>247</v>
      </c>
      <c r="D151" s="259"/>
      <c r="E151" s="332">
        <f>SUM(E149*E144)</f>
        <v>0</v>
      </c>
      <c r="F151" s="32"/>
    </row>
    <row r="152" spans="1:6" ht="13" customHeight="1" x14ac:dyDescent="0.15">
      <c r="A152" s="35"/>
      <c r="B152" s="32"/>
      <c r="C152" s="255" t="s">
        <v>248</v>
      </c>
      <c r="D152" s="203"/>
      <c r="E152" s="230"/>
      <c r="F152" s="32"/>
    </row>
    <row r="153" spans="1:6" ht="13" customHeight="1" x14ac:dyDescent="0.15">
      <c r="A153" s="35"/>
      <c r="B153" s="32"/>
      <c r="C153" s="247" t="s">
        <v>238</v>
      </c>
      <c r="D153" s="248"/>
      <c r="E153" s="113"/>
      <c r="F153" s="32"/>
    </row>
    <row r="154" spans="1:6" ht="13" customHeight="1" x14ac:dyDescent="0.15">
      <c r="A154" s="35"/>
      <c r="B154" s="32"/>
      <c r="C154" s="242" t="s">
        <v>246</v>
      </c>
      <c r="D154" s="243"/>
      <c r="E154" s="114"/>
      <c r="F154" s="32"/>
    </row>
    <row r="155" spans="1:6" ht="13" customHeight="1" x14ac:dyDescent="0.15">
      <c r="A155" s="35"/>
      <c r="B155" s="32"/>
      <c r="C155" s="242" t="s">
        <v>118</v>
      </c>
      <c r="D155" s="243"/>
      <c r="E155" s="115"/>
      <c r="F155" s="32"/>
    </row>
    <row r="156" spans="1:6" ht="13" customHeight="1" x14ac:dyDescent="0.15">
      <c r="A156" s="35"/>
      <c r="B156" s="32"/>
      <c r="C156" s="242" t="s">
        <v>125</v>
      </c>
      <c r="D156" s="243"/>
      <c r="E156" s="186"/>
      <c r="F156" s="32"/>
    </row>
    <row r="157" spans="1:6" ht="13" customHeight="1" x14ac:dyDescent="0.15">
      <c r="A157" s="35"/>
      <c r="B157" s="32"/>
      <c r="C157" s="242" t="s">
        <v>126</v>
      </c>
      <c r="D157" s="243"/>
      <c r="E157" s="116"/>
      <c r="F157" s="36"/>
    </row>
    <row r="158" spans="1:6" ht="13" customHeight="1" x14ac:dyDescent="0.15">
      <c r="A158" s="35"/>
      <c r="B158" s="32"/>
      <c r="C158" s="258" t="s">
        <v>127</v>
      </c>
      <c r="D158" s="259"/>
      <c r="E158" s="332">
        <f>SUM(E156*E157)</f>
        <v>0</v>
      </c>
      <c r="F158" s="32"/>
    </row>
    <row r="159" spans="1:6" ht="13" customHeight="1" x14ac:dyDescent="0.15">
      <c r="A159" s="35"/>
      <c r="B159" s="32"/>
      <c r="C159" s="258" t="s">
        <v>128</v>
      </c>
      <c r="D159" s="259"/>
      <c r="E159" s="332">
        <f>SUM(E157)</f>
        <v>0</v>
      </c>
      <c r="F159" s="32"/>
    </row>
    <row r="160" spans="1:6" ht="13" customHeight="1" x14ac:dyDescent="0.15">
      <c r="A160" s="35"/>
      <c r="B160" s="32"/>
      <c r="C160" s="260" t="s">
        <v>249</v>
      </c>
      <c r="D160" s="261"/>
      <c r="E160" s="333">
        <f>SUM(E158*E155)</f>
        <v>0</v>
      </c>
      <c r="F160" s="32"/>
    </row>
    <row r="161" spans="1:6" ht="13" customHeight="1" thickBot="1" x14ac:dyDescent="0.2">
      <c r="A161" s="35"/>
      <c r="B161" s="32"/>
      <c r="C161" s="317" t="s">
        <v>250</v>
      </c>
      <c r="D161" s="325"/>
      <c r="E161" s="338">
        <f>SUM(E151+E160)</f>
        <v>0</v>
      </c>
      <c r="F161" s="32"/>
    </row>
    <row r="162" spans="1:6" x14ac:dyDescent="0.15">
      <c r="A162" s="35"/>
      <c r="B162" s="32"/>
      <c r="C162" s="32"/>
      <c r="D162" s="32"/>
      <c r="E162" s="32"/>
      <c r="F162" s="32"/>
    </row>
    <row r="163" spans="1:6" x14ac:dyDescent="0.15">
      <c r="A163" s="35"/>
      <c r="B163" s="32"/>
      <c r="C163" s="37" t="s">
        <v>129</v>
      </c>
      <c r="D163" s="38"/>
      <c r="E163" s="39"/>
      <c r="F163" s="32"/>
    </row>
    <row r="164" spans="1:6" ht="13" customHeight="1" x14ac:dyDescent="0.15">
      <c r="A164" s="35"/>
      <c r="B164" s="32"/>
      <c r="C164" s="255" t="s">
        <v>251</v>
      </c>
      <c r="D164" s="203"/>
      <c r="E164" s="230"/>
      <c r="F164" s="32"/>
    </row>
    <row r="165" spans="1:6" ht="13" customHeight="1" x14ac:dyDescent="0.15">
      <c r="A165" s="35"/>
      <c r="B165" s="32"/>
      <c r="C165" s="247" t="s">
        <v>252</v>
      </c>
      <c r="D165" s="248"/>
      <c r="E165" s="113"/>
      <c r="F165" s="32"/>
    </row>
    <row r="166" spans="1:6" ht="13" customHeight="1" x14ac:dyDescent="0.15">
      <c r="A166" s="35"/>
      <c r="B166" s="32"/>
      <c r="C166" s="262" t="s">
        <v>233</v>
      </c>
      <c r="D166" s="263"/>
      <c r="E166" s="126"/>
      <c r="F166" s="32"/>
    </row>
    <row r="167" spans="1:6" ht="13" customHeight="1" x14ac:dyDescent="0.15">
      <c r="A167" s="35"/>
      <c r="B167" s="32"/>
      <c r="C167" s="262" t="s">
        <v>130</v>
      </c>
      <c r="D167" s="263"/>
      <c r="E167" s="126"/>
      <c r="F167" s="32"/>
    </row>
    <row r="168" spans="1:6" ht="13" customHeight="1" x14ac:dyDescent="0.15">
      <c r="A168" s="35"/>
      <c r="B168" s="32"/>
      <c r="C168" s="242" t="s">
        <v>131</v>
      </c>
      <c r="D168" s="243"/>
      <c r="E168" s="188"/>
      <c r="F168" s="32"/>
    </row>
    <row r="169" spans="1:6" ht="13" customHeight="1" x14ac:dyDescent="0.15">
      <c r="A169" s="35"/>
      <c r="B169" s="32"/>
      <c r="C169" s="242" t="s">
        <v>132</v>
      </c>
      <c r="D169" s="243"/>
      <c r="E169" s="129"/>
      <c r="F169" s="32"/>
    </row>
    <row r="170" spans="1:6" ht="13" customHeight="1" x14ac:dyDescent="0.15">
      <c r="A170" s="35"/>
      <c r="B170" s="32"/>
      <c r="C170" s="242" t="s">
        <v>133</v>
      </c>
      <c r="D170" s="243"/>
      <c r="E170" s="130"/>
      <c r="F170" s="32"/>
    </row>
    <row r="171" spans="1:6" ht="13" customHeight="1" x14ac:dyDescent="0.15">
      <c r="A171" s="35"/>
      <c r="B171" s="32"/>
      <c r="C171" s="242" t="s">
        <v>134</v>
      </c>
      <c r="D171" s="243"/>
      <c r="E171" s="131"/>
      <c r="F171" s="32"/>
    </row>
    <row r="172" spans="1:6" ht="13" customHeight="1" x14ac:dyDescent="0.15">
      <c r="A172" s="35"/>
      <c r="B172" s="32"/>
      <c r="C172" s="273" t="s">
        <v>135</v>
      </c>
      <c r="D172" s="265"/>
      <c r="E172" s="336">
        <f>SUM(E168*(E169-E170)*E171)</f>
        <v>0</v>
      </c>
      <c r="F172" s="32"/>
    </row>
    <row r="173" spans="1:6" ht="13" customHeight="1" x14ac:dyDescent="0.15">
      <c r="A173" s="35"/>
      <c r="B173" s="392"/>
      <c r="C173" s="273" t="s">
        <v>136</v>
      </c>
      <c r="D173" s="265"/>
      <c r="E173" s="336">
        <f>SUM(E171*(E169-E170))</f>
        <v>0</v>
      </c>
      <c r="F173" s="32"/>
    </row>
    <row r="174" spans="1:6" ht="13" customHeight="1" thickBot="1" x14ac:dyDescent="0.2">
      <c r="A174" s="35"/>
      <c r="B174" s="32"/>
      <c r="C174" s="317" t="s">
        <v>253</v>
      </c>
      <c r="D174" s="325"/>
      <c r="E174" s="338">
        <f>SUM(E172*E167)</f>
        <v>0</v>
      </c>
      <c r="F174" s="32"/>
    </row>
    <row r="175" spans="1:6" x14ac:dyDescent="0.15">
      <c r="A175" s="35"/>
      <c r="B175" s="32"/>
      <c r="C175" s="112"/>
      <c r="D175" s="112"/>
      <c r="E175" s="112"/>
      <c r="F175" s="32"/>
    </row>
    <row r="176" spans="1:6" ht="13" customHeight="1" x14ac:dyDescent="0.15">
      <c r="A176" s="35"/>
      <c r="B176" s="32"/>
      <c r="C176" s="274" t="s">
        <v>254</v>
      </c>
      <c r="D176" s="275"/>
      <c r="E176" s="337">
        <f>SUM(E172+E158+E149+E136+E123+E114+E102)</f>
        <v>0</v>
      </c>
      <c r="F176" s="32"/>
    </row>
    <row r="177" spans="1:6" ht="13" customHeight="1" thickBot="1" x14ac:dyDescent="0.2">
      <c r="A177" s="35"/>
      <c r="B177" s="392"/>
      <c r="C177" s="396" t="s">
        <v>255</v>
      </c>
      <c r="D177" s="397"/>
      <c r="E177" s="398">
        <f>SUM(E173+E159+E150+E137+E124+E115+E103)</f>
        <v>0</v>
      </c>
      <c r="F177" s="392"/>
    </row>
    <row r="178" spans="1:6" ht="13" customHeight="1" thickBot="1" x14ac:dyDescent="0.2">
      <c r="A178" s="35"/>
      <c r="B178" s="392"/>
      <c r="C178" s="399" t="s">
        <v>256</v>
      </c>
      <c r="D178" s="400"/>
      <c r="E178" s="401">
        <f>SUM(E174+E161+E138+E126+E104)</f>
        <v>0</v>
      </c>
      <c r="F178" s="392"/>
    </row>
    <row r="179" spans="1:6" ht="14" thickTop="1" x14ac:dyDescent="0.15">
      <c r="A179" s="35"/>
      <c r="B179" s="392"/>
      <c r="C179" s="393"/>
      <c r="D179" s="394"/>
      <c r="E179" s="395"/>
      <c r="F179" s="392"/>
    </row>
    <row r="180" spans="1:6" x14ac:dyDescent="0.15">
      <c r="A180" s="35"/>
      <c r="B180" s="106"/>
      <c r="C180" s="106"/>
      <c r="D180" s="106"/>
      <c r="E180" s="106"/>
      <c r="F180" s="106"/>
    </row>
    <row r="181" spans="1:6" x14ac:dyDescent="0.15">
      <c r="A181" s="35"/>
      <c r="B181" s="35"/>
      <c r="C181" s="138"/>
      <c r="D181" s="181"/>
      <c r="E181" s="181"/>
      <c r="F181" s="35"/>
    </row>
  </sheetData>
  <mergeCells count="145">
    <mergeCell ref="C12:D12"/>
    <mergeCell ref="C13:D13"/>
    <mergeCell ref="C14:D14"/>
    <mergeCell ref="C16:E16"/>
    <mergeCell ref="C17:E17"/>
    <mergeCell ref="C18:D18"/>
    <mergeCell ref="C6:E6"/>
    <mergeCell ref="C7:E7"/>
    <mergeCell ref="C8:D8"/>
    <mergeCell ref="C9:D9"/>
    <mergeCell ref="C10:D10"/>
    <mergeCell ref="C11:D11"/>
    <mergeCell ref="C25:D25"/>
    <mergeCell ref="C26:D26"/>
    <mergeCell ref="C27:D27"/>
    <mergeCell ref="C28:D28"/>
    <mergeCell ref="C29:D29"/>
    <mergeCell ref="C30:D30"/>
    <mergeCell ref="C19:D19"/>
    <mergeCell ref="C20:D20"/>
    <mergeCell ref="C21:D21"/>
    <mergeCell ref="C22:D22"/>
    <mergeCell ref="C23:D23"/>
    <mergeCell ref="C24:E24"/>
    <mergeCell ref="C39:D39"/>
    <mergeCell ref="C40:D40"/>
    <mergeCell ref="C41:E41"/>
    <mergeCell ref="C42:D42"/>
    <mergeCell ref="C43:D43"/>
    <mergeCell ref="C44:D44"/>
    <mergeCell ref="C33:E33"/>
    <mergeCell ref="C34:D34"/>
    <mergeCell ref="C35:D35"/>
    <mergeCell ref="C36:D36"/>
    <mergeCell ref="C37:D37"/>
    <mergeCell ref="C38:D38"/>
    <mergeCell ref="C57:E57"/>
    <mergeCell ref="C58:E58"/>
    <mergeCell ref="C59:D59"/>
    <mergeCell ref="C60:D60"/>
    <mergeCell ref="C61:D61"/>
    <mergeCell ref="C62:D62"/>
    <mergeCell ref="C45:D45"/>
    <mergeCell ref="C46:D46"/>
    <mergeCell ref="C47:D47"/>
    <mergeCell ref="C48:D48"/>
    <mergeCell ref="C49:D49"/>
    <mergeCell ref="C51:D51"/>
    <mergeCell ref="C72:D72"/>
    <mergeCell ref="C73:D73"/>
    <mergeCell ref="C74:D74"/>
    <mergeCell ref="C75:D75"/>
    <mergeCell ref="C76:E76"/>
    <mergeCell ref="C77:D77"/>
    <mergeCell ref="C63:D63"/>
    <mergeCell ref="C64:D64"/>
    <mergeCell ref="C65:D65"/>
    <mergeCell ref="C68:E68"/>
    <mergeCell ref="C69:D69"/>
    <mergeCell ref="C70:D70"/>
    <mergeCell ref="C84:D84"/>
    <mergeCell ref="C85:D85"/>
    <mergeCell ref="C87:D87"/>
    <mergeCell ref="C88:D88"/>
    <mergeCell ref="C94:E94"/>
    <mergeCell ref="C95:D95"/>
    <mergeCell ref="C78:D78"/>
    <mergeCell ref="C79:D79"/>
    <mergeCell ref="C80:D80"/>
    <mergeCell ref="C81:D81"/>
    <mergeCell ref="C82:D82"/>
    <mergeCell ref="C83:D83"/>
    <mergeCell ref="C102:D102"/>
    <mergeCell ref="C103:D103"/>
    <mergeCell ref="C107:E107"/>
    <mergeCell ref="C108:D108"/>
    <mergeCell ref="C109:D109"/>
    <mergeCell ref="C110:D110"/>
    <mergeCell ref="C96:D96"/>
    <mergeCell ref="C97:D97"/>
    <mergeCell ref="C98:D98"/>
    <mergeCell ref="C99:D99"/>
    <mergeCell ref="C100:D100"/>
    <mergeCell ref="C101:D101"/>
    <mergeCell ref="C117:E117"/>
    <mergeCell ref="C118:D118"/>
    <mergeCell ref="C119:D119"/>
    <mergeCell ref="C120:D120"/>
    <mergeCell ref="C121:D121"/>
    <mergeCell ref="C122:D122"/>
    <mergeCell ref="C111:D111"/>
    <mergeCell ref="C112:D112"/>
    <mergeCell ref="C113:D113"/>
    <mergeCell ref="C114:D114"/>
    <mergeCell ref="C115:D115"/>
    <mergeCell ref="C116:D116"/>
    <mergeCell ref="C131:D131"/>
    <mergeCell ref="C132:D132"/>
    <mergeCell ref="C133:D133"/>
    <mergeCell ref="C134:D134"/>
    <mergeCell ref="C135:D135"/>
    <mergeCell ref="C137:D137"/>
    <mergeCell ref="C123:D123"/>
    <mergeCell ref="C124:D124"/>
    <mergeCell ref="C125:D125"/>
    <mergeCell ref="C126:D126"/>
    <mergeCell ref="C129:E129"/>
    <mergeCell ref="C130:D130"/>
    <mergeCell ref="C146:D146"/>
    <mergeCell ref="C147:D147"/>
    <mergeCell ref="C148:D148"/>
    <mergeCell ref="C149:D149"/>
    <mergeCell ref="C150:D150"/>
    <mergeCell ref="C151:D151"/>
    <mergeCell ref="C138:D138"/>
    <mergeCell ref="C141:E141"/>
    <mergeCell ref="C142:D142"/>
    <mergeCell ref="C143:D143"/>
    <mergeCell ref="C144:D144"/>
    <mergeCell ref="C145:D145"/>
    <mergeCell ref="C158:D158"/>
    <mergeCell ref="C159:D159"/>
    <mergeCell ref="C160:D160"/>
    <mergeCell ref="C161:D161"/>
    <mergeCell ref="C164:E164"/>
    <mergeCell ref="C165:D165"/>
    <mergeCell ref="C152:E152"/>
    <mergeCell ref="C153:D153"/>
    <mergeCell ref="C154:D154"/>
    <mergeCell ref="C155:D155"/>
    <mergeCell ref="C156:D156"/>
    <mergeCell ref="C157:D157"/>
    <mergeCell ref="C179:D179"/>
    <mergeCell ref="C172:D172"/>
    <mergeCell ref="C173:D173"/>
    <mergeCell ref="C174:D174"/>
    <mergeCell ref="C176:D176"/>
    <mergeCell ref="C177:D177"/>
    <mergeCell ref="C178:D178"/>
    <mergeCell ref="C166:D166"/>
    <mergeCell ref="C167:D167"/>
    <mergeCell ref="C168:D168"/>
    <mergeCell ref="C169:D169"/>
    <mergeCell ref="C170:D170"/>
    <mergeCell ref="C171:D171"/>
  </mergeCells>
  <conditionalFormatting sqref="E104">
    <cfRule type="colorScale" priority="1">
      <colorScale>
        <cfvo type="min"/>
        <cfvo type="max"/>
        <color rgb="FF57BB8A"/>
        <color rgb="FFFFFFFF"/>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147"/>
  <sheetViews>
    <sheetView showGridLines="0" zoomScale="93" workbookViewId="0">
      <selection activeCell="J10" sqref="J10"/>
    </sheetView>
  </sheetViews>
  <sheetFormatPr baseColWidth="10" defaultColWidth="8.83203125" defaultRowHeight="13" x14ac:dyDescent="0.15"/>
  <cols>
    <col min="1" max="1" width="5.6640625" customWidth="1"/>
    <col min="2" max="2" width="7.1640625" customWidth="1"/>
    <col min="3" max="3" width="73" customWidth="1"/>
    <col min="4" max="4" width="113.5" style="149" customWidth="1"/>
    <col min="5" max="5" width="18.6640625" customWidth="1"/>
    <col min="6" max="6" width="22.6640625" customWidth="1"/>
    <col min="7" max="7" width="19.5" customWidth="1"/>
    <col min="8" max="8" width="7.1640625" customWidth="1"/>
    <col min="9" max="9" width="16.6640625" style="63" customWidth="1"/>
    <col min="10" max="10" width="14.33203125" style="63" customWidth="1"/>
    <col min="11" max="11" width="9.1640625" style="63" customWidth="1"/>
    <col min="12" max="12" width="14" style="63" customWidth="1"/>
    <col min="13" max="13" width="9.1640625" style="63"/>
    <col min="14" max="14" width="14.33203125" style="63" customWidth="1"/>
    <col min="15" max="15" width="5.6640625" style="63" customWidth="1"/>
    <col min="16" max="16" width="9.1640625" style="63"/>
  </cols>
  <sheetData>
    <row r="1" spans="1:30" s="277" customFormat="1" x14ac:dyDescent="0.15">
      <c r="A1" s="1" t="s">
        <v>0</v>
      </c>
      <c r="B1" s="2"/>
      <c r="C1" s="2"/>
      <c r="D1" s="2"/>
      <c r="E1" s="2"/>
      <c r="F1" s="2"/>
      <c r="G1" s="2"/>
      <c r="H1" s="2"/>
      <c r="I1" s="2"/>
      <c r="J1" s="2"/>
      <c r="K1" s="2"/>
      <c r="L1" s="2"/>
      <c r="M1" s="2"/>
      <c r="N1" s="2"/>
      <c r="O1" s="2"/>
      <c r="P1" s="2"/>
      <c r="Q1" s="2"/>
      <c r="R1" s="2"/>
      <c r="S1" s="2"/>
      <c r="T1" s="2"/>
      <c r="U1" s="2"/>
      <c r="V1" s="2"/>
      <c r="W1" s="2"/>
      <c r="X1" s="2"/>
      <c r="Y1" s="2"/>
    </row>
    <row r="2" spans="1:30" s="277" customFormat="1" x14ac:dyDescent="0.15">
      <c r="A2" s="3" t="s">
        <v>258</v>
      </c>
      <c r="B2" s="2"/>
      <c r="C2" s="2"/>
      <c r="D2" s="2"/>
      <c r="E2" s="2"/>
      <c r="F2" s="2"/>
      <c r="G2" s="2"/>
      <c r="H2" s="2"/>
      <c r="I2" s="2"/>
      <c r="J2" s="2"/>
      <c r="K2" s="2"/>
      <c r="L2" s="2"/>
      <c r="M2" s="2"/>
      <c r="N2" s="2"/>
      <c r="O2" s="2"/>
      <c r="P2" s="2"/>
      <c r="Q2" s="2"/>
      <c r="R2" s="2"/>
      <c r="S2" s="2"/>
      <c r="T2" s="2"/>
      <c r="U2" s="2"/>
      <c r="V2" s="2"/>
      <c r="W2" s="2"/>
      <c r="X2" s="2"/>
      <c r="Y2" s="2"/>
    </row>
    <row r="3" spans="1:30" x14ac:dyDescent="0.15">
      <c r="A3" s="149"/>
      <c r="B3" s="149"/>
      <c r="C3" s="149"/>
      <c r="E3" s="149"/>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row>
    <row r="4" spans="1:30" s="48" customFormat="1" x14ac:dyDescent="0.15">
      <c r="A4" s="149"/>
      <c r="B4" s="7" t="s">
        <v>137</v>
      </c>
      <c r="C4" s="14"/>
      <c r="D4" s="14"/>
      <c r="E4" s="14"/>
      <c r="F4" s="14"/>
      <c r="G4" s="14"/>
      <c r="H4" s="14"/>
      <c r="I4" s="84"/>
      <c r="J4" s="84"/>
      <c r="K4" s="84"/>
      <c r="L4" s="84"/>
      <c r="M4" s="84"/>
      <c r="N4" s="84"/>
      <c r="O4" s="84"/>
      <c r="P4" s="63"/>
      <c r="Q4" s="149"/>
      <c r="R4" s="149"/>
      <c r="S4" s="149"/>
      <c r="T4" s="149"/>
      <c r="U4" s="149"/>
      <c r="V4" s="149"/>
      <c r="W4" s="149"/>
      <c r="X4" s="149"/>
      <c r="Y4" s="149"/>
      <c r="Z4" s="149"/>
      <c r="AA4" s="149"/>
      <c r="AB4" s="149"/>
      <c r="AC4" s="149"/>
      <c r="AD4" s="149"/>
    </row>
    <row r="5" spans="1:30" x14ac:dyDescent="0.15">
      <c r="A5" s="149"/>
      <c r="B5" s="14"/>
      <c r="C5" s="14"/>
      <c r="D5" s="14"/>
      <c r="E5" s="14"/>
      <c r="F5" s="14"/>
      <c r="G5" s="14"/>
      <c r="H5" s="50"/>
      <c r="I5" s="73"/>
      <c r="J5" s="73"/>
      <c r="K5" s="73"/>
      <c r="L5" s="73"/>
      <c r="M5" s="73"/>
      <c r="N5" s="73"/>
      <c r="O5" s="84"/>
      <c r="Q5" s="149"/>
      <c r="R5" s="149"/>
      <c r="S5" s="149"/>
      <c r="T5" s="149"/>
      <c r="U5" s="149"/>
      <c r="V5" s="149"/>
      <c r="W5" s="149"/>
      <c r="X5" s="149"/>
      <c r="Y5" s="149"/>
      <c r="Z5" s="149"/>
      <c r="AA5" s="149"/>
      <c r="AB5" s="149"/>
      <c r="AC5" s="149"/>
      <c r="AD5" s="149"/>
    </row>
    <row r="6" spans="1:30" ht="14.25" customHeight="1" x14ac:dyDescent="0.15">
      <c r="A6" s="149"/>
      <c r="B6" s="14"/>
      <c r="C6" s="57" t="s">
        <v>38</v>
      </c>
      <c r="D6" s="58"/>
      <c r="E6" s="58"/>
      <c r="F6" s="58"/>
      <c r="G6" s="58"/>
      <c r="H6" s="75"/>
      <c r="I6" s="61"/>
      <c r="J6" s="61"/>
      <c r="K6" s="61"/>
      <c r="L6" s="61"/>
      <c r="M6" s="61"/>
      <c r="N6" s="61"/>
      <c r="O6" s="73"/>
      <c r="P6" s="61"/>
      <c r="Q6" s="51"/>
      <c r="R6" s="51"/>
      <c r="S6" s="51"/>
      <c r="T6" s="51"/>
      <c r="U6" s="52"/>
      <c r="V6" s="149"/>
      <c r="W6" s="149"/>
      <c r="X6" s="149"/>
      <c r="Y6" s="149"/>
      <c r="Z6" s="149"/>
      <c r="AA6" s="149"/>
      <c r="AB6" s="149"/>
      <c r="AC6" s="149"/>
      <c r="AD6" s="149"/>
    </row>
    <row r="7" spans="1:30" ht="18.75" customHeight="1" x14ac:dyDescent="0.15">
      <c r="A7" s="149"/>
      <c r="B7" s="14"/>
      <c r="C7" s="362" t="s">
        <v>138</v>
      </c>
      <c r="D7" s="363" t="s">
        <v>139</v>
      </c>
      <c r="E7" s="363" t="s">
        <v>140</v>
      </c>
      <c r="F7" s="363" t="s">
        <v>12</v>
      </c>
      <c r="G7" s="363" t="s">
        <v>141</v>
      </c>
      <c r="H7" s="77"/>
      <c r="I7" s="47"/>
      <c r="J7" s="62"/>
      <c r="K7" s="47"/>
      <c r="L7" s="62"/>
      <c r="M7" s="47"/>
      <c r="N7" s="62"/>
      <c r="O7" s="73"/>
      <c r="Q7" s="52"/>
      <c r="R7" s="52"/>
      <c r="S7" s="52"/>
      <c r="T7" s="52"/>
      <c r="U7" s="52"/>
      <c r="V7" s="149"/>
      <c r="W7" s="149"/>
      <c r="X7" s="149"/>
      <c r="Y7" s="149"/>
      <c r="Z7" s="149"/>
      <c r="AA7" s="149"/>
      <c r="AB7" s="149"/>
      <c r="AC7" s="149"/>
      <c r="AD7" s="149"/>
    </row>
    <row r="8" spans="1:30" ht="42" x14ac:dyDescent="0.15">
      <c r="A8" s="149"/>
      <c r="B8" s="50"/>
      <c r="C8" s="405" t="s">
        <v>75</v>
      </c>
      <c r="D8" s="405" t="s">
        <v>142</v>
      </c>
      <c r="E8" s="406">
        <v>2600</v>
      </c>
      <c r="F8" s="406">
        <v>2600</v>
      </c>
      <c r="G8" s="406">
        <v>2600</v>
      </c>
      <c r="H8" s="79"/>
      <c r="I8" s="47"/>
      <c r="J8" s="67"/>
      <c r="K8" s="47"/>
      <c r="L8" s="67"/>
      <c r="M8" s="47"/>
      <c r="N8" s="67"/>
      <c r="O8" s="73"/>
      <c r="Q8" s="149"/>
      <c r="R8" s="149"/>
      <c r="S8" s="149"/>
      <c r="T8" s="149"/>
      <c r="U8" s="149"/>
      <c r="V8" s="149"/>
      <c r="W8" s="149"/>
      <c r="X8" s="149"/>
      <c r="Y8" s="149"/>
      <c r="Z8" s="149"/>
      <c r="AA8" s="149"/>
      <c r="AB8" s="149"/>
      <c r="AC8" s="149"/>
      <c r="AD8" s="149"/>
    </row>
    <row r="9" spans="1:30" ht="25.5" customHeight="1" x14ac:dyDescent="0.15">
      <c r="A9" s="149"/>
      <c r="B9" s="50"/>
      <c r="C9" s="405" t="s">
        <v>76</v>
      </c>
      <c r="D9" s="405" t="s">
        <v>143</v>
      </c>
      <c r="E9" s="407">
        <v>3</v>
      </c>
      <c r="F9" s="407">
        <v>3</v>
      </c>
      <c r="G9" s="407">
        <v>3</v>
      </c>
      <c r="H9" s="79"/>
      <c r="I9" s="47"/>
      <c r="J9" s="66"/>
      <c r="K9" s="47"/>
      <c r="L9" s="66"/>
      <c r="M9" s="47"/>
      <c r="N9" s="66"/>
      <c r="O9" s="73"/>
      <c r="Q9" s="149"/>
      <c r="R9" s="149"/>
      <c r="S9" s="149"/>
      <c r="T9" s="149"/>
      <c r="U9" s="149"/>
      <c r="V9" s="149"/>
      <c r="W9" s="149"/>
      <c r="X9" s="149"/>
      <c r="Y9" s="149"/>
      <c r="Z9" s="149"/>
      <c r="AA9" s="149"/>
      <c r="AB9" s="149"/>
      <c r="AC9" s="149"/>
      <c r="AD9" s="149"/>
    </row>
    <row r="10" spans="1:30" ht="28" x14ac:dyDescent="0.15">
      <c r="A10" s="149"/>
      <c r="B10" s="50"/>
      <c r="C10" s="405" t="s">
        <v>42</v>
      </c>
      <c r="D10" s="405" t="s">
        <v>144</v>
      </c>
      <c r="E10" s="406">
        <f t="shared" ref="E10" si="0">E8*E9</f>
        <v>7800</v>
      </c>
      <c r="F10" s="406">
        <f t="shared" ref="F10" si="1">F8*F9</f>
        <v>7800</v>
      </c>
      <c r="G10" s="406">
        <f t="shared" ref="G10" si="2">G8*G9</f>
        <v>7800</v>
      </c>
      <c r="H10" s="79"/>
      <c r="I10" s="47"/>
      <c r="J10" s="67"/>
      <c r="K10" s="47"/>
      <c r="L10" s="67"/>
      <c r="M10" s="47"/>
      <c r="N10" s="67"/>
      <c r="O10" s="73"/>
      <c r="Q10" s="149"/>
      <c r="R10" s="149"/>
      <c r="S10" s="149"/>
      <c r="T10" s="149"/>
      <c r="U10" s="149"/>
      <c r="V10" s="149"/>
      <c r="W10" s="149"/>
      <c r="X10" s="149"/>
      <c r="Y10" s="149"/>
      <c r="Z10" s="149"/>
      <c r="AA10" s="149"/>
      <c r="AB10" s="149"/>
      <c r="AC10" s="149"/>
      <c r="AD10" s="149"/>
    </row>
    <row r="11" spans="1:30" ht="56" x14ac:dyDescent="0.15">
      <c r="A11" s="149"/>
      <c r="B11" s="50"/>
      <c r="C11" s="405" t="s">
        <v>43</v>
      </c>
      <c r="D11" s="405" t="s">
        <v>145</v>
      </c>
      <c r="E11" s="408">
        <v>2.8150000000000001E-2</v>
      </c>
      <c r="F11" s="408">
        <v>4.8149999999999998E-2</v>
      </c>
      <c r="G11" s="408">
        <v>6.8150000000000002E-2</v>
      </c>
      <c r="H11" s="79"/>
      <c r="I11" s="47"/>
      <c r="J11" s="68"/>
      <c r="K11" s="47"/>
      <c r="L11" s="68"/>
      <c r="M11" s="47"/>
      <c r="N11" s="68"/>
      <c r="O11" s="73"/>
      <c r="Q11" s="149"/>
      <c r="R11" s="149"/>
      <c r="S11" s="149"/>
      <c r="T11" s="149"/>
      <c r="U11" s="149"/>
      <c r="V11" s="149"/>
      <c r="W11" s="149"/>
      <c r="X11" s="149"/>
      <c r="Y11" s="149"/>
      <c r="Z11" s="149"/>
      <c r="AA11" s="149"/>
      <c r="AB11" s="149"/>
      <c r="AC11" s="149"/>
      <c r="AD11" s="149"/>
    </row>
    <row r="12" spans="1:30" ht="56" x14ac:dyDescent="0.15">
      <c r="A12" s="149"/>
      <c r="B12" s="50"/>
      <c r="C12" s="405" t="s">
        <v>44</v>
      </c>
      <c r="D12" s="405" t="s">
        <v>146</v>
      </c>
      <c r="E12" s="409">
        <v>565.70000000000005</v>
      </c>
      <c r="F12" s="409">
        <v>565.70000000000005</v>
      </c>
      <c r="G12" s="409">
        <v>565.70000000000005</v>
      </c>
      <c r="H12" s="79"/>
      <c r="I12" s="47"/>
      <c r="J12" s="69"/>
      <c r="K12" s="47"/>
      <c r="L12" s="69"/>
      <c r="M12" s="47"/>
      <c r="N12" s="69"/>
      <c r="O12" s="73"/>
      <c r="Q12" s="149"/>
      <c r="R12" s="149"/>
      <c r="S12" s="149"/>
      <c r="T12" s="149"/>
      <c r="U12" s="149"/>
      <c r="V12" s="149"/>
      <c r="W12" s="149"/>
      <c r="X12" s="149"/>
      <c r="Y12" s="149"/>
      <c r="Z12" s="149"/>
      <c r="AA12" s="149"/>
      <c r="AB12" s="149"/>
      <c r="AC12" s="149"/>
      <c r="AD12" s="149"/>
    </row>
    <row r="13" spans="1:30" ht="70" x14ac:dyDescent="0.15">
      <c r="A13" s="149"/>
      <c r="B13" s="50"/>
      <c r="C13" s="405" t="s">
        <v>45</v>
      </c>
      <c r="D13" s="405" t="s">
        <v>147</v>
      </c>
      <c r="E13" s="409">
        <v>92</v>
      </c>
      <c r="F13" s="409">
        <v>92</v>
      </c>
      <c r="G13" s="409">
        <v>92</v>
      </c>
      <c r="H13" s="79"/>
      <c r="I13" s="47"/>
      <c r="J13" s="69"/>
      <c r="K13" s="47"/>
      <c r="L13" s="69"/>
      <c r="M13" s="47"/>
      <c r="N13" s="69"/>
      <c r="O13" s="73"/>
      <c r="Q13" s="149"/>
      <c r="R13" s="149"/>
      <c r="S13" s="149"/>
      <c r="T13" s="149"/>
      <c r="U13" s="149"/>
      <c r="V13" s="149"/>
      <c r="W13" s="149"/>
      <c r="X13" s="149"/>
      <c r="Y13" s="149"/>
      <c r="Z13" s="149"/>
      <c r="AA13" s="149"/>
      <c r="AB13" s="149"/>
      <c r="AC13" s="149"/>
      <c r="AD13" s="149"/>
    </row>
    <row r="14" spans="1:30" ht="12.75" customHeight="1" x14ac:dyDescent="0.15">
      <c r="A14" s="149"/>
      <c r="B14" s="50"/>
      <c r="C14" s="57" t="s">
        <v>47</v>
      </c>
      <c r="D14" s="58"/>
      <c r="E14" s="58"/>
      <c r="F14" s="58"/>
      <c r="G14" s="58"/>
      <c r="H14" s="75"/>
      <c r="I14" s="61"/>
      <c r="J14" s="61"/>
      <c r="K14" s="61"/>
      <c r="L14" s="61"/>
      <c r="M14" s="61"/>
      <c r="N14" s="61"/>
      <c r="O14" s="73"/>
      <c r="Q14" s="149"/>
      <c r="R14" s="149"/>
      <c r="S14" s="149"/>
      <c r="T14" s="149"/>
      <c r="U14" s="149"/>
      <c r="V14" s="149"/>
      <c r="W14" s="149"/>
      <c r="X14" s="149"/>
      <c r="Y14" s="149"/>
      <c r="Z14" s="149"/>
      <c r="AA14" s="149"/>
      <c r="AB14" s="149"/>
      <c r="AC14" s="149"/>
      <c r="AD14" s="149"/>
    </row>
    <row r="15" spans="1:30" s="49" customFormat="1" ht="12.75" customHeight="1" x14ac:dyDescent="0.15">
      <c r="A15" s="149"/>
      <c r="B15" s="50"/>
      <c r="C15" s="356" t="s">
        <v>148</v>
      </c>
      <c r="D15" s="357"/>
      <c r="E15" s="357"/>
      <c r="F15" s="357"/>
      <c r="G15" s="357"/>
      <c r="H15" s="80"/>
      <c r="I15" s="70"/>
      <c r="J15" s="70"/>
      <c r="K15" s="70"/>
      <c r="L15" s="70"/>
      <c r="M15" s="70"/>
      <c r="N15" s="70"/>
      <c r="O15" s="73"/>
      <c r="P15" s="63"/>
      <c r="Q15" s="149"/>
      <c r="R15" s="149"/>
      <c r="S15" s="149"/>
      <c r="T15" s="149"/>
      <c r="U15" s="149"/>
      <c r="V15" s="149"/>
      <c r="W15" s="149"/>
      <c r="X15" s="149"/>
      <c r="Y15" s="149"/>
      <c r="Z15" s="149"/>
      <c r="AA15" s="149"/>
      <c r="AB15" s="149"/>
      <c r="AC15" s="149"/>
      <c r="AD15" s="149"/>
    </row>
    <row r="16" spans="1:30" ht="42" x14ac:dyDescent="0.15">
      <c r="A16" s="149"/>
      <c r="B16" s="50"/>
      <c r="C16" s="405" t="s">
        <v>27</v>
      </c>
      <c r="D16" s="405" t="s">
        <v>149</v>
      </c>
      <c r="E16" s="410">
        <v>35400</v>
      </c>
      <c r="F16" s="410">
        <v>35400</v>
      </c>
      <c r="G16" s="410">
        <v>35400</v>
      </c>
      <c r="H16" s="79"/>
      <c r="I16" s="47"/>
      <c r="J16" s="71"/>
      <c r="K16" s="47"/>
      <c r="L16" s="71"/>
      <c r="M16" s="47"/>
      <c r="N16" s="71"/>
      <c r="O16" s="73"/>
      <c r="Q16" s="149"/>
      <c r="R16" s="149"/>
      <c r="S16" s="149"/>
      <c r="T16" s="149"/>
      <c r="U16" s="149"/>
      <c r="V16" s="149"/>
      <c r="W16" s="149"/>
      <c r="X16" s="149"/>
      <c r="Y16" s="149"/>
      <c r="Z16" s="149"/>
      <c r="AA16" s="149"/>
      <c r="AB16" s="149"/>
      <c r="AC16" s="149"/>
      <c r="AD16" s="149"/>
    </row>
    <row r="17" spans="1:30" ht="42" x14ac:dyDescent="0.15">
      <c r="A17" s="149"/>
      <c r="B17" s="50"/>
      <c r="C17" s="405" t="s">
        <v>26</v>
      </c>
      <c r="D17" s="405" t="s">
        <v>142</v>
      </c>
      <c r="E17" s="410">
        <v>2600</v>
      </c>
      <c r="F17" s="410">
        <v>2600</v>
      </c>
      <c r="G17" s="410">
        <v>2600</v>
      </c>
      <c r="H17" s="79"/>
      <c r="I17" s="47"/>
      <c r="J17" s="71"/>
      <c r="K17" s="47"/>
      <c r="L17" s="71"/>
      <c r="M17" s="47"/>
      <c r="N17" s="71"/>
      <c r="O17" s="73"/>
      <c r="Q17" s="149"/>
      <c r="R17" s="149"/>
      <c r="S17" s="149"/>
      <c r="T17" s="149"/>
      <c r="U17" s="149"/>
      <c r="V17" s="149"/>
      <c r="W17" s="149"/>
      <c r="X17" s="149"/>
      <c r="Y17" s="149"/>
      <c r="Z17" s="149"/>
      <c r="AA17" s="149"/>
      <c r="AB17" s="149"/>
      <c r="AC17" s="149"/>
      <c r="AD17" s="149"/>
    </row>
    <row r="18" spans="1:30" ht="70.5" customHeight="1" x14ac:dyDescent="0.15">
      <c r="A18" s="149"/>
      <c r="B18" s="50"/>
      <c r="C18" s="405" t="s">
        <v>49</v>
      </c>
      <c r="D18" s="405" t="s">
        <v>150</v>
      </c>
      <c r="E18" s="411">
        <v>1</v>
      </c>
      <c r="F18" s="411">
        <v>2</v>
      </c>
      <c r="G18" s="411">
        <v>4</v>
      </c>
      <c r="H18" s="79"/>
      <c r="I18" s="47"/>
      <c r="J18" s="68"/>
      <c r="K18" s="47"/>
      <c r="L18" s="68"/>
      <c r="M18" s="47"/>
      <c r="N18" s="68"/>
      <c r="O18" s="73"/>
      <c r="Q18" s="149"/>
      <c r="R18" s="149"/>
      <c r="S18" s="149"/>
      <c r="T18" s="149"/>
      <c r="U18" s="149"/>
      <c r="V18" s="149"/>
      <c r="W18" s="149"/>
      <c r="X18" s="149"/>
      <c r="Y18" s="149"/>
      <c r="Z18" s="149"/>
      <c r="AA18" s="149"/>
      <c r="AB18" s="149"/>
      <c r="AC18" s="149"/>
      <c r="AD18" s="149"/>
    </row>
    <row r="19" spans="1:30" ht="51" customHeight="1" x14ac:dyDescent="0.15">
      <c r="A19" s="149"/>
      <c r="B19" s="50"/>
      <c r="C19" s="405" t="s">
        <v>50</v>
      </c>
      <c r="D19" s="405" t="s">
        <v>151</v>
      </c>
      <c r="E19" s="411">
        <v>80</v>
      </c>
      <c r="F19" s="411">
        <v>100</v>
      </c>
      <c r="G19" s="411">
        <v>120</v>
      </c>
      <c r="H19" s="79"/>
      <c r="I19" s="47"/>
      <c r="J19" s="68"/>
      <c r="K19" s="47"/>
      <c r="L19" s="68"/>
      <c r="M19" s="47"/>
      <c r="N19" s="68"/>
      <c r="O19" s="73"/>
      <c r="Q19" s="149"/>
      <c r="R19" s="149"/>
      <c r="S19" s="149"/>
      <c r="T19" s="149"/>
      <c r="U19" s="149"/>
      <c r="V19" s="149"/>
      <c r="W19" s="149"/>
      <c r="X19" s="149"/>
      <c r="Y19" s="149"/>
      <c r="Z19" s="149"/>
      <c r="AA19" s="149"/>
      <c r="AB19" s="149"/>
      <c r="AC19" s="149"/>
      <c r="AD19" s="149"/>
    </row>
    <row r="20" spans="1:30" ht="39.75" customHeight="1" x14ac:dyDescent="0.15">
      <c r="A20" s="149"/>
      <c r="B20" s="50"/>
      <c r="C20" s="405" t="s">
        <v>51</v>
      </c>
      <c r="D20" s="405" t="s">
        <v>152</v>
      </c>
      <c r="E20" s="412">
        <v>39.42</v>
      </c>
      <c r="F20" s="412">
        <v>39.42</v>
      </c>
      <c r="G20" s="412">
        <v>39.42</v>
      </c>
      <c r="H20" s="79"/>
      <c r="I20" s="47"/>
      <c r="J20" s="47"/>
      <c r="K20" s="47"/>
      <c r="L20" s="47"/>
      <c r="M20" s="47"/>
      <c r="N20" s="47"/>
      <c r="O20" s="73"/>
      <c r="Q20" s="149"/>
      <c r="R20" s="149"/>
      <c r="S20" s="149"/>
      <c r="T20" s="149"/>
      <c r="U20" s="149"/>
      <c r="V20" s="149"/>
      <c r="W20" s="149"/>
      <c r="X20" s="149"/>
      <c r="Y20" s="149"/>
      <c r="Z20" s="149"/>
      <c r="AA20" s="149"/>
      <c r="AB20" s="149"/>
      <c r="AC20" s="149"/>
      <c r="AD20" s="149"/>
    </row>
    <row r="21" spans="1:30" ht="12.75" customHeight="1" x14ac:dyDescent="0.15">
      <c r="A21" s="149"/>
      <c r="B21" s="14"/>
      <c r="C21" s="358" t="s">
        <v>58</v>
      </c>
      <c r="D21" s="358"/>
      <c r="E21" s="359"/>
      <c r="F21" s="359"/>
      <c r="G21" s="359"/>
      <c r="H21" s="81"/>
      <c r="I21" s="64"/>
      <c r="J21" s="64"/>
      <c r="K21" s="64"/>
      <c r="L21" s="64"/>
      <c r="M21" s="64"/>
      <c r="N21" s="64"/>
      <c r="O21" s="73"/>
      <c r="Q21" s="149"/>
      <c r="R21" s="149"/>
      <c r="S21" s="149"/>
      <c r="T21" s="149"/>
      <c r="U21" s="149"/>
      <c r="V21" s="149"/>
      <c r="W21" s="149"/>
      <c r="X21" s="149"/>
      <c r="Y21" s="149"/>
      <c r="Z21" s="149"/>
      <c r="AA21" s="149"/>
      <c r="AB21" s="149"/>
      <c r="AC21" s="149"/>
      <c r="AD21" s="149"/>
    </row>
    <row r="22" spans="1:30" ht="42" x14ac:dyDescent="0.15">
      <c r="A22" s="149"/>
      <c r="B22" s="50"/>
      <c r="C22" s="405" t="s">
        <v>54</v>
      </c>
      <c r="D22" s="405" t="s">
        <v>153</v>
      </c>
      <c r="E22" s="412">
        <v>26.2</v>
      </c>
      <c r="F22" s="412">
        <v>26.2</v>
      </c>
      <c r="G22" s="412">
        <v>26.2</v>
      </c>
      <c r="H22" s="79"/>
      <c r="I22" s="47"/>
      <c r="J22" s="47"/>
      <c r="K22" s="47"/>
      <c r="L22" s="47"/>
      <c r="M22" s="47"/>
      <c r="N22" s="47"/>
      <c r="O22" s="73"/>
      <c r="Q22" s="149"/>
      <c r="R22" s="149"/>
      <c r="S22" s="149"/>
      <c r="T22" s="149"/>
      <c r="U22" s="149"/>
      <c r="V22" s="149"/>
      <c r="W22" s="149"/>
      <c r="X22" s="149"/>
      <c r="Y22" s="149"/>
      <c r="Z22" s="149"/>
      <c r="AA22" s="149"/>
      <c r="AB22" s="149"/>
      <c r="AC22" s="149"/>
      <c r="AD22" s="149"/>
    </row>
    <row r="23" spans="1:30" ht="128.25" customHeight="1" x14ac:dyDescent="0.15">
      <c r="A23" s="149"/>
      <c r="B23" s="50"/>
      <c r="C23" s="405" t="s">
        <v>55</v>
      </c>
      <c r="D23" s="405" t="s">
        <v>154</v>
      </c>
      <c r="E23" s="411">
        <v>0.5</v>
      </c>
      <c r="F23" s="411">
        <v>1</v>
      </c>
      <c r="G23" s="411">
        <v>2</v>
      </c>
      <c r="H23" s="79"/>
      <c r="I23" s="47"/>
      <c r="J23" s="68"/>
      <c r="K23" s="47"/>
      <c r="L23" s="68"/>
      <c r="M23" s="47"/>
      <c r="N23" s="68"/>
      <c r="O23" s="73"/>
      <c r="Q23" s="149"/>
      <c r="R23" s="149"/>
      <c r="S23" s="149"/>
      <c r="T23" s="149"/>
      <c r="U23" s="149"/>
      <c r="V23" s="149"/>
      <c r="W23" s="149"/>
      <c r="X23" s="149"/>
      <c r="Y23" s="149"/>
      <c r="Z23" s="149"/>
      <c r="AA23" s="149"/>
      <c r="AB23" s="149"/>
      <c r="AC23" s="149"/>
      <c r="AD23" s="149"/>
    </row>
    <row r="24" spans="1:30" ht="182" x14ac:dyDescent="0.15">
      <c r="A24" s="149"/>
      <c r="B24" s="50"/>
      <c r="C24" s="405" t="s">
        <v>56</v>
      </c>
      <c r="D24" s="405" t="s">
        <v>155</v>
      </c>
      <c r="E24" s="411">
        <v>26</v>
      </c>
      <c r="F24" s="411">
        <v>33</v>
      </c>
      <c r="G24" s="411">
        <v>40</v>
      </c>
      <c r="H24" s="79"/>
      <c r="I24" s="47"/>
      <c r="J24" s="68"/>
      <c r="K24" s="47"/>
      <c r="L24" s="68"/>
      <c r="M24" s="47"/>
      <c r="N24" s="68"/>
      <c r="O24" s="73"/>
      <c r="Q24" s="149"/>
      <c r="R24" s="149"/>
      <c r="S24" s="149"/>
      <c r="T24" s="149"/>
      <c r="U24" s="149"/>
      <c r="V24" s="149"/>
      <c r="W24" s="149"/>
      <c r="X24" s="149"/>
      <c r="Y24" s="149"/>
      <c r="Z24" s="149"/>
      <c r="AA24" s="149"/>
      <c r="AB24" s="149"/>
      <c r="AC24" s="149"/>
      <c r="AD24" s="149"/>
    </row>
    <row r="25" spans="1:30" ht="42" x14ac:dyDescent="0.15">
      <c r="A25" s="149"/>
      <c r="B25" s="50"/>
      <c r="C25" s="405" t="s">
        <v>57</v>
      </c>
      <c r="D25" s="405" t="s">
        <v>156</v>
      </c>
      <c r="E25" s="413">
        <f>SUM(E16*E23+E17*E24)</f>
        <v>85300</v>
      </c>
      <c r="F25" s="413">
        <f>SUM(F16*F23+F17*F24)</f>
        <v>121200</v>
      </c>
      <c r="G25" s="413">
        <f>SUM(G16*G23+G17*G24)</f>
        <v>174800</v>
      </c>
      <c r="H25" s="79"/>
      <c r="I25" s="47"/>
      <c r="J25" s="72"/>
      <c r="K25" s="47"/>
      <c r="L25" s="72"/>
      <c r="M25" s="47"/>
      <c r="N25" s="72"/>
      <c r="O25" s="73"/>
      <c r="Q25" s="149"/>
      <c r="R25" s="149"/>
      <c r="S25" s="149"/>
      <c r="T25" s="149"/>
      <c r="U25" s="149"/>
      <c r="V25" s="149"/>
      <c r="W25" s="149"/>
      <c r="X25" s="149"/>
      <c r="Y25" s="149"/>
      <c r="Z25" s="149"/>
      <c r="AA25" s="149"/>
      <c r="AB25" s="149"/>
      <c r="AC25" s="149"/>
      <c r="AD25" s="149"/>
    </row>
    <row r="26" spans="1:30" ht="12.75" customHeight="1" x14ac:dyDescent="0.15">
      <c r="A26" s="149"/>
      <c r="B26" s="14"/>
      <c r="C26" s="57" t="s">
        <v>59</v>
      </c>
      <c r="D26" s="58"/>
      <c r="E26" s="58"/>
      <c r="F26" s="58"/>
      <c r="G26" s="58"/>
      <c r="H26" s="75"/>
      <c r="I26" s="61"/>
      <c r="J26" s="61"/>
      <c r="K26" s="61"/>
      <c r="L26" s="61"/>
      <c r="M26" s="61"/>
      <c r="N26" s="61"/>
      <c r="O26" s="73"/>
      <c r="Q26" s="149"/>
      <c r="R26" s="149"/>
      <c r="S26" s="149"/>
      <c r="T26" s="149"/>
      <c r="U26" s="149"/>
      <c r="V26" s="149"/>
      <c r="W26" s="149"/>
      <c r="X26" s="149"/>
      <c r="Y26" s="149"/>
      <c r="Z26" s="149"/>
      <c r="AA26" s="149"/>
      <c r="AB26" s="149"/>
      <c r="AC26" s="149"/>
      <c r="AD26" s="149"/>
    </row>
    <row r="27" spans="1:30" ht="12.75" customHeight="1" x14ac:dyDescent="0.15">
      <c r="A27" s="149"/>
      <c r="B27" s="14"/>
      <c r="C27" s="372" t="s">
        <v>66</v>
      </c>
      <c r="D27" s="366"/>
      <c r="E27" s="361"/>
      <c r="F27" s="361"/>
      <c r="G27" s="361"/>
      <c r="H27" s="82"/>
      <c r="I27" s="65"/>
      <c r="J27" s="65"/>
      <c r="K27" s="65"/>
      <c r="L27" s="65"/>
      <c r="M27" s="65"/>
      <c r="N27" s="65"/>
      <c r="O27" s="73"/>
      <c r="Q27" s="149"/>
      <c r="R27" s="149"/>
      <c r="S27" s="149"/>
      <c r="T27" s="149"/>
      <c r="U27" s="149"/>
      <c r="V27" s="149"/>
      <c r="W27" s="149"/>
      <c r="X27" s="149"/>
      <c r="Y27" s="149"/>
      <c r="Z27" s="149"/>
      <c r="AA27" s="149"/>
      <c r="AB27" s="149"/>
      <c r="AC27" s="149"/>
      <c r="AD27" s="149"/>
    </row>
    <row r="28" spans="1:30" ht="42" x14ac:dyDescent="0.15">
      <c r="A28" s="149"/>
      <c r="B28" s="50"/>
      <c r="C28" s="405" t="s">
        <v>26</v>
      </c>
      <c r="D28" s="405" t="s">
        <v>142</v>
      </c>
      <c r="E28" s="410">
        <v>2600</v>
      </c>
      <c r="F28" s="410">
        <v>2600</v>
      </c>
      <c r="G28" s="410">
        <v>2600</v>
      </c>
      <c r="H28" s="79"/>
      <c r="I28" s="47"/>
      <c r="J28" s="71"/>
      <c r="K28" s="47"/>
      <c r="L28" s="71"/>
      <c r="M28" s="47"/>
      <c r="N28" s="71"/>
      <c r="O28" s="73"/>
      <c r="Q28" s="149"/>
      <c r="R28" s="149"/>
      <c r="S28" s="149"/>
      <c r="T28" s="149"/>
      <c r="U28" s="149"/>
      <c r="V28" s="149"/>
      <c r="W28" s="149"/>
      <c r="X28" s="149"/>
      <c r="Y28" s="149"/>
      <c r="Z28" s="149"/>
      <c r="AA28" s="149"/>
      <c r="AB28" s="149"/>
      <c r="AC28" s="149"/>
      <c r="AD28" s="149"/>
    </row>
    <row r="29" spans="1:30" ht="28" x14ac:dyDescent="0.15">
      <c r="A29" s="149"/>
      <c r="B29" s="50"/>
      <c r="C29" s="405" t="s">
        <v>61</v>
      </c>
      <c r="D29" s="405" t="s">
        <v>157</v>
      </c>
      <c r="E29" s="414">
        <v>3</v>
      </c>
      <c r="F29" s="414">
        <v>3</v>
      </c>
      <c r="G29" s="414">
        <v>3</v>
      </c>
      <c r="H29" s="79"/>
      <c r="I29" s="47"/>
      <c r="J29" s="73"/>
      <c r="K29" s="47"/>
      <c r="L29" s="73"/>
      <c r="M29" s="47"/>
      <c r="N29" s="73"/>
      <c r="O29" s="73"/>
      <c r="Q29" s="149"/>
      <c r="R29" s="149"/>
      <c r="S29" s="149"/>
      <c r="T29" s="149"/>
      <c r="U29" s="149"/>
      <c r="V29" s="149"/>
      <c r="W29" s="149"/>
      <c r="X29" s="149"/>
      <c r="Y29" s="149"/>
      <c r="Z29" s="149"/>
      <c r="AA29" s="149"/>
      <c r="AB29" s="149"/>
      <c r="AC29" s="149"/>
      <c r="AD29" s="149"/>
    </row>
    <row r="30" spans="1:30" ht="28" x14ac:dyDescent="0.15">
      <c r="A30" s="149"/>
      <c r="B30" s="50"/>
      <c r="C30" s="405" t="s">
        <v>62</v>
      </c>
      <c r="D30" s="405" t="s">
        <v>158</v>
      </c>
      <c r="E30" s="410">
        <f>E28*E29</f>
        <v>7800</v>
      </c>
      <c r="F30" s="410">
        <f>F28*F29</f>
        <v>7800</v>
      </c>
      <c r="G30" s="410">
        <f>G28*G29</f>
        <v>7800</v>
      </c>
      <c r="H30" s="79"/>
      <c r="I30" s="47"/>
      <c r="J30" s="71"/>
      <c r="K30" s="47"/>
      <c r="L30" s="71"/>
      <c r="M30" s="47"/>
      <c r="N30" s="71"/>
      <c r="O30" s="73"/>
      <c r="Q30" s="149"/>
      <c r="R30" s="149"/>
      <c r="S30" s="149"/>
      <c r="T30" s="149"/>
      <c r="U30" s="149"/>
      <c r="V30" s="149"/>
      <c r="W30" s="149"/>
      <c r="X30" s="149"/>
      <c r="Y30" s="149"/>
      <c r="Z30" s="149"/>
      <c r="AA30" s="149"/>
      <c r="AB30" s="149"/>
      <c r="AC30" s="149"/>
      <c r="AD30" s="149"/>
    </row>
    <row r="31" spans="1:30" ht="12.75" customHeight="1" x14ac:dyDescent="0.15">
      <c r="A31" s="149"/>
      <c r="B31" s="50"/>
      <c r="C31" s="405" t="s">
        <v>63</v>
      </c>
      <c r="D31" s="405" t="s">
        <v>159</v>
      </c>
      <c r="E31" s="408">
        <v>0.3</v>
      </c>
      <c r="F31" s="408">
        <v>0.5</v>
      </c>
      <c r="G31" s="408">
        <v>0.7</v>
      </c>
      <c r="H31" s="79"/>
      <c r="I31" s="47"/>
      <c r="J31" s="68"/>
      <c r="K31" s="47"/>
      <c r="L31" s="68"/>
      <c r="M31" s="47"/>
      <c r="N31" s="68"/>
      <c r="O31" s="73"/>
      <c r="Q31" s="149"/>
      <c r="R31" s="149"/>
      <c r="S31" s="149"/>
      <c r="T31" s="149"/>
      <c r="U31" s="149"/>
      <c r="V31" s="149"/>
      <c r="W31" s="149"/>
      <c r="X31" s="149"/>
      <c r="Y31" s="149"/>
      <c r="Z31" s="149"/>
      <c r="AA31" s="149"/>
      <c r="AB31" s="149"/>
      <c r="AC31" s="149"/>
      <c r="AD31" s="149"/>
    </row>
    <row r="32" spans="1:30" ht="12.75" customHeight="1" x14ac:dyDescent="0.15">
      <c r="A32" s="149"/>
      <c r="B32" s="50"/>
      <c r="C32" s="405" t="s">
        <v>64</v>
      </c>
      <c r="D32" s="405" t="s">
        <v>159</v>
      </c>
      <c r="E32" s="411">
        <v>2</v>
      </c>
      <c r="F32" s="411">
        <v>4</v>
      </c>
      <c r="G32" s="411">
        <v>8</v>
      </c>
      <c r="H32" s="79"/>
      <c r="I32" s="47"/>
      <c r="J32" s="68"/>
      <c r="K32" s="47"/>
      <c r="L32" s="68"/>
      <c r="M32" s="47"/>
      <c r="N32" s="68"/>
      <c r="O32" s="73"/>
      <c r="Q32" s="149"/>
      <c r="R32" s="149"/>
      <c r="S32" s="149"/>
      <c r="T32" s="149"/>
      <c r="U32" s="149"/>
      <c r="V32" s="149"/>
      <c r="W32" s="149"/>
      <c r="X32" s="149"/>
      <c r="Y32" s="149"/>
      <c r="Z32" s="149"/>
      <c r="AA32" s="149"/>
      <c r="AB32" s="149"/>
      <c r="AC32" s="149"/>
      <c r="AD32" s="149"/>
    </row>
    <row r="33" spans="1:30" ht="56" x14ac:dyDescent="0.15">
      <c r="A33" s="149"/>
      <c r="B33" s="50"/>
      <c r="C33" s="405" t="s">
        <v>65</v>
      </c>
      <c r="D33" s="405" t="s">
        <v>160</v>
      </c>
      <c r="E33" s="415">
        <v>120</v>
      </c>
      <c r="F33" s="415">
        <v>120</v>
      </c>
      <c r="G33" s="415">
        <v>120</v>
      </c>
      <c r="H33" s="79"/>
      <c r="I33" s="47"/>
      <c r="J33" s="74"/>
      <c r="K33" s="47"/>
      <c r="L33" s="74"/>
      <c r="M33" s="47"/>
      <c r="N33" s="74"/>
      <c r="O33" s="73"/>
      <c r="Q33" s="149"/>
      <c r="R33" s="149"/>
      <c r="S33" s="149"/>
      <c r="T33" s="149"/>
      <c r="U33" s="149"/>
      <c r="V33" s="149"/>
      <c r="W33" s="149"/>
      <c r="X33" s="149"/>
      <c r="Y33" s="149"/>
      <c r="Z33" s="149"/>
      <c r="AA33" s="149"/>
      <c r="AB33" s="149"/>
      <c r="AC33" s="149"/>
      <c r="AD33" s="149"/>
    </row>
    <row r="34" spans="1:30" ht="12.75" customHeight="1" x14ac:dyDescent="0.15">
      <c r="A34" s="149"/>
      <c r="B34" s="14"/>
      <c r="C34" s="372" t="s">
        <v>71</v>
      </c>
      <c r="D34" s="366"/>
      <c r="E34" s="361"/>
      <c r="F34" s="361"/>
      <c r="G34" s="361"/>
      <c r="H34" s="82"/>
      <c r="I34" s="65"/>
      <c r="J34" s="65"/>
      <c r="K34" s="65"/>
      <c r="L34" s="65"/>
      <c r="M34" s="65"/>
      <c r="N34" s="65"/>
      <c r="O34" s="73"/>
      <c r="Q34" s="149"/>
      <c r="R34" s="149"/>
      <c r="S34" s="149"/>
      <c r="T34" s="149"/>
      <c r="U34" s="149"/>
      <c r="V34" s="149"/>
      <c r="W34" s="149"/>
      <c r="X34" s="149"/>
      <c r="Y34" s="149"/>
      <c r="Z34" s="149"/>
      <c r="AA34" s="149"/>
      <c r="AB34" s="149"/>
      <c r="AC34" s="149"/>
      <c r="AD34" s="149"/>
    </row>
    <row r="35" spans="1:30" ht="42" x14ac:dyDescent="0.15">
      <c r="A35" s="149"/>
      <c r="B35" s="50"/>
      <c r="C35" s="405" t="s">
        <v>28</v>
      </c>
      <c r="D35" s="405" t="s">
        <v>161</v>
      </c>
      <c r="E35" s="416">
        <v>38000</v>
      </c>
      <c r="F35" s="416">
        <v>38000</v>
      </c>
      <c r="G35" s="416">
        <v>38000</v>
      </c>
      <c r="H35" s="79"/>
      <c r="I35" s="67"/>
      <c r="J35" s="67"/>
      <c r="K35" s="67"/>
      <c r="L35" s="67"/>
      <c r="M35" s="47"/>
      <c r="N35" s="47"/>
      <c r="O35" s="73"/>
      <c r="Q35" s="149"/>
      <c r="R35" s="149"/>
      <c r="S35" s="149"/>
      <c r="T35" s="149"/>
      <c r="U35" s="149"/>
      <c r="V35" s="149"/>
      <c r="W35" s="149"/>
      <c r="X35" s="149"/>
      <c r="Y35" s="149"/>
      <c r="Z35" s="149"/>
      <c r="AA35" s="149"/>
      <c r="AB35" s="149"/>
      <c r="AC35" s="149"/>
      <c r="AD35" s="149"/>
    </row>
    <row r="36" spans="1:30" ht="28" x14ac:dyDescent="0.15">
      <c r="A36" s="149"/>
      <c r="B36" s="50"/>
      <c r="C36" s="405" t="s">
        <v>68</v>
      </c>
      <c r="D36" s="405" t="s">
        <v>157</v>
      </c>
      <c r="E36" s="412">
        <v>3</v>
      </c>
      <c r="F36" s="412">
        <v>3</v>
      </c>
      <c r="G36" s="412">
        <v>3</v>
      </c>
      <c r="H36" s="79"/>
      <c r="I36" s="67"/>
      <c r="J36" s="67"/>
      <c r="K36" s="67"/>
      <c r="L36" s="67"/>
      <c r="M36" s="47"/>
      <c r="N36" s="47"/>
      <c r="O36" s="73"/>
      <c r="Q36" s="149"/>
      <c r="R36" s="149"/>
      <c r="S36" s="149"/>
      <c r="T36" s="149"/>
      <c r="U36" s="149"/>
      <c r="V36" s="149"/>
      <c r="W36" s="149"/>
      <c r="X36" s="149"/>
      <c r="Y36" s="149"/>
      <c r="Z36" s="149"/>
      <c r="AA36" s="149"/>
      <c r="AB36" s="149"/>
      <c r="AC36" s="149"/>
      <c r="AD36" s="149"/>
    </row>
    <row r="37" spans="1:30" ht="28" x14ac:dyDescent="0.15">
      <c r="A37" s="149"/>
      <c r="B37" s="50"/>
      <c r="C37" s="405" t="s">
        <v>69</v>
      </c>
      <c r="D37" s="405" t="s">
        <v>162</v>
      </c>
      <c r="E37" s="412">
        <f t="shared" ref="E37:G37" si="3">E35*E36</f>
        <v>114000</v>
      </c>
      <c r="F37" s="412">
        <f t="shared" si="3"/>
        <v>114000</v>
      </c>
      <c r="G37" s="412">
        <f t="shared" si="3"/>
        <v>114000</v>
      </c>
      <c r="H37" s="79"/>
      <c r="I37" s="67"/>
      <c r="J37" s="67"/>
      <c r="K37" s="67"/>
      <c r="L37" s="67"/>
      <c r="M37" s="47"/>
      <c r="N37" s="47"/>
      <c r="O37" s="73"/>
      <c r="Q37" s="149"/>
      <c r="R37" s="149"/>
      <c r="S37" s="149"/>
      <c r="T37" s="149"/>
      <c r="U37" s="149"/>
      <c r="V37" s="149"/>
      <c r="W37" s="149"/>
      <c r="X37" s="149"/>
      <c r="Y37" s="149"/>
      <c r="Z37" s="149"/>
      <c r="AA37" s="149"/>
      <c r="AB37" s="149"/>
      <c r="AC37" s="149"/>
      <c r="AD37" s="149"/>
    </row>
    <row r="38" spans="1:30" ht="70" x14ac:dyDescent="0.15">
      <c r="A38" s="149"/>
      <c r="B38" s="50"/>
      <c r="C38" s="405" t="s">
        <v>70</v>
      </c>
      <c r="D38" s="405" t="s">
        <v>163</v>
      </c>
      <c r="E38" s="408">
        <v>0.18</v>
      </c>
      <c r="F38" s="408">
        <v>0.23</v>
      </c>
      <c r="G38" s="408">
        <v>0.28000000000000003</v>
      </c>
      <c r="H38" s="79"/>
      <c r="I38" s="353"/>
      <c r="J38" s="67"/>
      <c r="K38" s="67"/>
      <c r="L38" s="67"/>
      <c r="M38" s="47"/>
      <c r="N38" s="47"/>
      <c r="O38" s="73"/>
      <c r="Q38" s="149"/>
      <c r="R38" s="149"/>
      <c r="S38" s="149"/>
      <c r="T38" s="149"/>
      <c r="U38" s="149"/>
      <c r="V38" s="149"/>
      <c r="W38" s="149"/>
      <c r="X38" s="149"/>
      <c r="Y38" s="149"/>
      <c r="Z38" s="149"/>
      <c r="AA38" s="149"/>
      <c r="AB38" s="149"/>
      <c r="AC38" s="149"/>
      <c r="AD38" s="149"/>
    </row>
    <row r="39" spans="1:30" ht="70" x14ac:dyDescent="0.15">
      <c r="A39" s="149"/>
      <c r="B39" s="50"/>
      <c r="C39" s="405" t="s">
        <v>64</v>
      </c>
      <c r="D39" s="417" t="s">
        <v>164</v>
      </c>
      <c r="E39" s="409">
        <v>6</v>
      </c>
      <c r="F39" s="409">
        <v>6</v>
      </c>
      <c r="G39" s="409">
        <v>6</v>
      </c>
      <c r="H39" s="79"/>
      <c r="I39" s="67"/>
      <c r="J39" s="67"/>
      <c r="K39" s="67"/>
      <c r="L39" s="67"/>
      <c r="M39" s="47"/>
      <c r="N39" s="47"/>
      <c r="O39" s="73"/>
      <c r="Q39" s="149"/>
      <c r="R39" s="149"/>
      <c r="S39" s="149"/>
      <c r="T39" s="149"/>
      <c r="U39" s="149"/>
      <c r="V39" s="149"/>
      <c r="W39" s="149"/>
      <c r="X39" s="149"/>
      <c r="Y39" s="149"/>
      <c r="Z39" s="149"/>
      <c r="AA39" s="149"/>
      <c r="AB39" s="149"/>
      <c r="AC39" s="149"/>
      <c r="AD39" s="149"/>
    </row>
    <row r="40" spans="1:30" ht="84" x14ac:dyDescent="0.15">
      <c r="A40" s="149"/>
      <c r="B40" s="50"/>
      <c r="C40" s="405" t="s">
        <v>65</v>
      </c>
      <c r="D40" s="405" t="s">
        <v>165</v>
      </c>
      <c r="E40" s="414">
        <v>72.72</v>
      </c>
      <c r="F40" s="414">
        <v>72.72</v>
      </c>
      <c r="G40" s="414">
        <v>72.72</v>
      </c>
      <c r="H40" s="79"/>
      <c r="I40" s="67"/>
      <c r="J40" s="67"/>
      <c r="K40" s="67"/>
      <c r="L40" s="67"/>
      <c r="M40" s="47"/>
      <c r="N40" s="47"/>
      <c r="O40" s="73"/>
      <c r="Q40" s="149"/>
      <c r="R40" s="149"/>
      <c r="S40" s="149"/>
      <c r="T40" s="149"/>
      <c r="U40" s="149"/>
      <c r="V40" s="149"/>
      <c r="W40" s="149"/>
      <c r="X40" s="149"/>
      <c r="Y40" s="149"/>
      <c r="Z40" s="149"/>
      <c r="AA40" s="149"/>
      <c r="AB40" s="149"/>
      <c r="AC40" s="149"/>
      <c r="AD40" s="149"/>
    </row>
    <row r="41" spans="1:30" x14ac:dyDescent="0.15">
      <c r="A41" s="149"/>
      <c r="B41" s="14"/>
      <c r="C41" s="50"/>
      <c r="D41" s="111"/>
      <c r="E41" s="50"/>
      <c r="F41" s="50"/>
      <c r="G41" s="50"/>
      <c r="H41" s="76"/>
      <c r="I41" s="73"/>
      <c r="J41" s="73"/>
      <c r="K41" s="73"/>
      <c r="L41" s="73"/>
      <c r="M41" s="73"/>
      <c r="N41" s="73"/>
      <c r="O41" s="73"/>
      <c r="Q41" s="149"/>
      <c r="R41" s="149"/>
      <c r="S41" s="149"/>
      <c r="T41" s="149"/>
      <c r="U41" s="149"/>
      <c r="V41" s="149"/>
      <c r="W41" s="149"/>
      <c r="X41" s="149"/>
      <c r="Y41" s="149"/>
      <c r="Z41" s="149"/>
      <c r="AA41" s="149"/>
      <c r="AB41" s="149"/>
      <c r="AC41" s="149"/>
      <c r="AD41" s="149"/>
    </row>
    <row r="42" spans="1:30" s="52" customFormat="1" x14ac:dyDescent="0.15">
      <c r="B42" s="339"/>
      <c r="C42" s="340"/>
      <c r="D42" s="341"/>
      <c r="E42" s="340"/>
      <c r="F42" s="340"/>
      <c r="G42" s="340"/>
      <c r="H42" s="340"/>
      <c r="I42" s="340"/>
      <c r="J42" s="340"/>
      <c r="K42" s="340"/>
      <c r="L42" s="340"/>
      <c r="M42" s="340"/>
      <c r="N42" s="340"/>
      <c r="O42" s="340"/>
    </row>
    <row r="43" spans="1:30" x14ac:dyDescent="0.15">
      <c r="A43" s="149"/>
      <c r="B43" s="7" t="s">
        <v>166</v>
      </c>
      <c r="C43" s="50"/>
      <c r="D43" s="111"/>
      <c r="E43" s="50"/>
      <c r="F43" s="50"/>
      <c r="G43" s="50"/>
      <c r="H43" s="76"/>
      <c r="I43" s="73"/>
      <c r="J43" s="73"/>
      <c r="K43" s="73"/>
      <c r="L43" s="73"/>
      <c r="M43" s="73"/>
      <c r="N43" s="73"/>
      <c r="O43" s="73"/>
      <c r="Q43" s="149"/>
      <c r="R43" s="149"/>
      <c r="S43" s="149"/>
      <c r="T43" s="149"/>
      <c r="U43" s="149"/>
      <c r="V43" s="149"/>
      <c r="W43" s="149"/>
      <c r="X43" s="149"/>
      <c r="Y43" s="149"/>
      <c r="Z43" s="149"/>
      <c r="AA43" s="149"/>
      <c r="AB43" s="149"/>
      <c r="AC43" s="149"/>
      <c r="AD43" s="149"/>
    </row>
    <row r="44" spans="1:30" x14ac:dyDescent="0.15">
      <c r="A44" s="149"/>
      <c r="B44" s="14"/>
      <c r="C44" s="14"/>
      <c r="D44" s="154"/>
      <c r="E44" s="14"/>
      <c r="F44" s="14"/>
      <c r="G44" s="14"/>
      <c r="H44" s="83"/>
      <c r="I44" s="84"/>
      <c r="J44" s="84"/>
      <c r="K44" s="84"/>
      <c r="L44" s="84"/>
      <c r="M44" s="84"/>
      <c r="N44" s="84"/>
      <c r="O44" s="73"/>
      <c r="Q44" s="149"/>
      <c r="R44" s="149"/>
      <c r="S44" s="149"/>
      <c r="T44" s="149"/>
      <c r="U44" s="149"/>
      <c r="V44" s="149"/>
      <c r="W44" s="149"/>
      <c r="X44" s="149"/>
      <c r="Y44" s="149"/>
      <c r="Z44" s="149"/>
      <c r="AA44" s="149"/>
      <c r="AB44" s="149"/>
      <c r="AC44" s="149"/>
      <c r="AD44" s="149"/>
    </row>
    <row r="45" spans="1:30" ht="14" x14ac:dyDescent="0.15">
      <c r="A45" s="149"/>
      <c r="B45" s="14"/>
      <c r="C45" s="57" t="s">
        <v>73</v>
      </c>
      <c r="D45" s="58"/>
      <c r="E45" s="58"/>
      <c r="F45" s="58"/>
      <c r="G45" s="58"/>
      <c r="H45" s="76"/>
      <c r="I45" s="73"/>
      <c r="J45" s="73"/>
      <c r="K45" s="73"/>
      <c r="L45" s="73"/>
      <c r="M45" s="73"/>
      <c r="N45" s="73"/>
      <c r="O45" s="73"/>
      <c r="Q45" s="149"/>
      <c r="R45" s="149"/>
      <c r="S45" s="149"/>
      <c r="T45" s="149"/>
      <c r="U45" s="149"/>
      <c r="V45" s="149"/>
      <c r="W45" s="149"/>
      <c r="X45" s="149"/>
      <c r="Y45" s="149"/>
      <c r="Z45" s="149"/>
      <c r="AA45" s="149"/>
      <c r="AB45" s="149"/>
      <c r="AC45" s="149"/>
      <c r="AD45" s="149"/>
    </row>
    <row r="46" spans="1:30" s="146" customFormat="1" ht="14" x14ac:dyDescent="0.15">
      <c r="A46" s="149"/>
      <c r="B46" s="14"/>
      <c r="C46" s="370" t="s">
        <v>138</v>
      </c>
      <c r="D46" s="371" t="s">
        <v>167</v>
      </c>
      <c r="E46" s="364" t="s">
        <v>140</v>
      </c>
      <c r="F46" s="365" t="s">
        <v>12</v>
      </c>
      <c r="G46" s="364" t="s">
        <v>141</v>
      </c>
      <c r="H46" s="156"/>
      <c r="I46" s="63"/>
      <c r="J46" s="157"/>
      <c r="K46" s="63"/>
      <c r="L46" s="157"/>
      <c r="M46" s="63"/>
      <c r="N46" s="157"/>
      <c r="O46" s="84"/>
      <c r="P46" s="63"/>
      <c r="Q46" s="149"/>
      <c r="R46" s="149"/>
      <c r="S46" s="149"/>
      <c r="T46" s="149"/>
      <c r="U46" s="149"/>
      <c r="V46" s="149"/>
      <c r="W46" s="149"/>
      <c r="X46" s="149"/>
      <c r="Y46" s="149"/>
      <c r="Z46" s="149"/>
      <c r="AA46" s="149"/>
      <c r="AB46" s="149"/>
      <c r="AC46" s="149"/>
      <c r="AD46" s="149"/>
    </row>
    <row r="47" spans="1:30" ht="14" x14ac:dyDescent="0.15">
      <c r="A47" s="149"/>
      <c r="B47" s="14"/>
      <c r="C47" s="372" t="s">
        <v>168</v>
      </c>
      <c r="D47" s="366"/>
      <c r="E47" s="361"/>
      <c r="F47" s="361"/>
      <c r="G47" s="361"/>
      <c r="H47" s="83"/>
      <c r="I47" s="84"/>
      <c r="J47" s="84"/>
      <c r="K47" s="84"/>
      <c r="L47" s="84"/>
      <c r="M47" s="84"/>
      <c r="N47" s="84"/>
      <c r="O47" s="73"/>
      <c r="Q47" s="149"/>
      <c r="R47" s="149"/>
      <c r="S47" s="149"/>
      <c r="T47" s="149"/>
      <c r="U47" s="149"/>
      <c r="V47" s="149"/>
      <c r="W47" s="149"/>
      <c r="X47" s="149"/>
      <c r="Y47" s="149"/>
      <c r="Z47" s="149"/>
      <c r="AA47" s="149"/>
      <c r="AB47" s="149"/>
      <c r="AC47" s="149"/>
      <c r="AD47" s="149"/>
    </row>
    <row r="48" spans="1:30" s="139" customFormat="1" ht="42" x14ac:dyDescent="0.15">
      <c r="A48" s="149"/>
      <c r="B48" s="50"/>
      <c r="C48" s="405" t="s">
        <v>75</v>
      </c>
      <c r="D48" s="405" t="s">
        <v>142</v>
      </c>
      <c r="E48" s="410">
        <v>2600</v>
      </c>
      <c r="F48" s="410">
        <v>2600</v>
      </c>
      <c r="G48" s="410">
        <v>2600</v>
      </c>
      <c r="H48" s="76"/>
      <c r="I48" s="84"/>
      <c r="J48" s="84"/>
      <c r="K48" s="84"/>
      <c r="L48" s="84"/>
      <c r="M48" s="84"/>
      <c r="N48" s="84"/>
      <c r="O48" s="73"/>
      <c r="P48" s="63"/>
      <c r="Q48" s="149"/>
      <c r="R48" s="149"/>
      <c r="S48" s="149"/>
      <c r="T48" s="149"/>
      <c r="U48" s="149"/>
      <c r="V48" s="149"/>
      <c r="W48" s="149"/>
      <c r="X48" s="149"/>
      <c r="Y48" s="149"/>
      <c r="Z48" s="149"/>
      <c r="AA48" s="149"/>
      <c r="AB48" s="149"/>
      <c r="AC48" s="149"/>
      <c r="AD48" s="149"/>
    </row>
    <row r="49" spans="1:30" ht="28" x14ac:dyDescent="0.15">
      <c r="A49" s="149"/>
      <c r="B49" s="50"/>
      <c r="C49" s="405" t="s">
        <v>76</v>
      </c>
      <c r="D49" s="405" t="s">
        <v>157</v>
      </c>
      <c r="E49" s="414">
        <v>3</v>
      </c>
      <c r="F49" s="414">
        <v>3</v>
      </c>
      <c r="G49" s="414">
        <v>3</v>
      </c>
      <c r="H49" s="76"/>
      <c r="I49" s="73"/>
      <c r="J49" s="73"/>
      <c r="K49" s="73"/>
      <c r="L49" s="73"/>
      <c r="M49" s="73"/>
      <c r="N49" s="73"/>
      <c r="O49" s="73"/>
      <c r="Q49" s="149"/>
      <c r="R49" s="149"/>
      <c r="S49" s="149"/>
      <c r="T49" s="149"/>
      <c r="U49" s="149"/>
      <c r="V49" s="149"/>
      <c r="W49" s="149"/>
      <c r="X49" s="149"/>
      <c r="Y49" s="149"/>
      <c r="Z49" s="149"/>
      <c r="AA49" s="149"/>
      <c r="AB49" s="149"/>
      <c r="AC49" s="149"/>
      <c r="AD49" s="149"/>
    </row>
    <row r="50" spans="1:30" ht="42" x14ac:dyDescent="0.15">
      <c r="A50" s="149"/>
      <c r="B50" s="50"/>
      <c r="C50" s="405" t="s">
        <v>77</v>
      </c>
      <c r="D50" s="405" t="s">
        <v>169</v>
      </c>
      <c r="E50" s="410">
        <f t="shared" ref="E50:G50" si="4">E48*E49</f>
        <v>7800</v>
      </c>
      <c r="F50" s="410">
        <f t="shared" si="4"/>
        <v>7800</v>
      </c>
      <c r="G50" s="410">
        <f t="shared" si="4"/>
        <v>7800</v>
      </c>
      <c r="H50" s="76"/>
      <c r="I50" s="84"/>
      <c r="J50" s="84"/>
      <c r="K50" s="84"/>
      <c r="L50" s="84"/>
      <c r="M50" s="84"/>
      <c r="N50" s="84"/>
      <c r="O50" s="73"/>
      <c r="Q50" s="149"/>
      <c r="R50" s="149"/>
      <c r="S50" s="149"/>
      <c r="T50" s="149"/>
      <c r="U50" s="149"/>
      <c r="V50" s="149"/>
      <c r="W50" s="149"/>
      <c r="X50" s="149"/>
      <c r="Y50" s="149"/>
      <c r="Z50" s="149"/>
      <c r="AA50" s="149"/>
      <c r="AB50" s="149"/>
      <c r="AC50" s="149"/>
      <c r="AD50" s="149"/>
    </row>
    <row r="51" spans="1:30" ht="70" x14ac:dyDescent="0.15">
      <c r="A51" s="149"/>
      <c r="B51" s="50"/>
      <c r="C51" s="405" t="s">
        <v>78</v>
      </c>
      <c r="D51" s="405" t="s">
        <v>170</v>
      </c>
      <c r="E51" s="408">
        <v>0.39</v>
      </c>
      <c r="F51" s="408">
        <v>0.49</v>
      </c>
      <c r="G51" s="408">
        <v>0.59</v>
      </c>
      <c r="H51" s="76"/>
      <c r="I51" s="73"/>
      <c r="J51" s="73"/>
      <c r="K51" s="73"/>
      <c r="L51" s="73"/>
      <c r="M51" s="73"/>
      <c r="N51" s="73"/>
      <c r="O51" s="73"/>
      <c r="Q51" s="149"/>
      <c r="R51" s="149"/>
      <c r="S51" s="149"/>
      <c r="T51" s="149"/>
      <c r="U51" s="149"/>
      <c r="V51" s="149"/>
      <c r="W51" s="149"/>
      <c r="X51" s="149"/>
      <c r="Y51" s="149"/>
      <c r="Z51" s="149"/>
      <c r="AA51" s="149"/>
      <c r="AB51" s="149"/>
      <c r="AC51" s="149"/>
      <c r="AD51" s="149"/>
    </row>
    <row r="52" spans="1:30" ht="56" x14ac:dyDescent="0.15">
      <c r="A52" s="149"/>
      <c r="B52" s="50"/>
      <c r="C52" s="405" t="s">
        <v>79</v>
      </c>
      <c r="D52" s="405" t="s">
        <v>171</v>
      </c>
      <c r="E52" s="418">
        <v>86252.4</v>
      </c>
      <c r="F52" s="418">
        <v>86252.4</v>
      </c>
      <c r="G52" s="418">
        <v>86252.4</v>
      </c>
      <c r="H52" s="76"/>
      <c r="I52" s="84"/>
      <c r="J52" s="84"/>
      <c r="K52" s="84"/>
      <c r="L52" s="84"/>
      <c r="M52" s="84"/>
      <c r="N52" s="84"/>
      <c r="O52" s="73"/>
      <c r="Q52" s="149"/>
      <c r="R52" s="149"/>
      <c r="S52" s="149"/>
      <c r="T52" s="149"/>
      <c r="U52" s="149"/>
      <c r="V52" s="149"/>
      <c r="W52" s="149"/>
      <c r="X52" s="149"/>
      <c r="Y52" s="149"/>
      <c r="Z52" s="149"/>
      <c r="AA52" s="149"/>
      <c r="AB52" s="149"/>
      <c r="AC52" s="149"/>
      <c r="AD52" s="149"/>
    </row>
    <row r="53" spans="1:30" ht="14" x14ac:dyDescent="0.15">
      <c r="A53" s="149"/>
      <c r="B53" s="50"/>
      <c r="C53" s="405" t="s">
        <v>80</v>
      </c>
      <c r="D53" s="405" t="s">
        <v>159</v>
      </c>
      <c r="E53" s="408">
        <v>0.25</v>
      </c>
      <c r="F53" s="408">
        <v>0.3</v>
      </c>
      <c r="G53" s="408">
        <v>0.35</v>
      </c>
      <c r="H53" s="76"/>
      <c r="I53" s="73"/>
      <c r="J53" s="73"/>
      <c r="K53" s="73"/>
      <c r="L53" s="73"/>
      <c r="M53" s="73"/>
      <c r="N53" s="73"/>
      <c r="O53" s="73"/>
      <c r="Q53" s="149"/>
      <c r="R53" s="149"/>
      <c r="S53" s="149"/>
      <c r="T53" s="149"/>
      <c r="U53" s="149"/>
      <c r="V53" s="149"/>
      <c r="W53" s="149"/>
      <c r="X53" s="149"/>
      <c r="Y53" s="149"/>
      <c r="Z53" s="149"/>
      <c r="AA53" s="149"/>
      <c r="AB53" s="149"/>
      <c r="AC53" s="149"/>
      <c r="AD53" s="149"/>
    </row>
    <row r="54" spans="1:30" ht="14" x14ac:dyDescent="0.15">
      <c r="A54" s="149"/>
      <c r="B54" s="14"/>
      <c r="C54" s="372" t="s">
        <v>172</v>
      </c>
      <c r="D54" s="366"/>
      <c r="E54" s="361"/>
      <c r="F54" s="361"/>
      <c r="G54" s="361"/>
      <c r="H54" s="83"/>
      <c r="I54" s="84"/>
      <c r="J54" s="84"/>
      <c r="K54" s="84"/>
      <c r="L54" s="84"/>
      <c r="M54" s="84"/>
      <c r="N54" s="84"/>
      <c r="O54" s="73"/>
      <c r="Q54" s="149"/>
      <c r="R54" s="149"/>
      <c r="S54" s="149"/>
      <c r="T54" s="149"/>
      <c r="U54" s="149"/>
      <c r="V54" s="149"/>
      <c r="W54" s="149"/>
      <c r="X54" s="149"/>
      <c r="Y54" s="149"/>
      <c r="Z54" s="149"/>
      <c r="AA54" s="149"/>
      <c r="AB54" s="149"/>
      <c r="AC54" s="149"/>
      <c r="AD54" s="149"/>
    </row>
    <row r="55" spans="1:30" ht="42" x14ac:dyDescent="0.15">
      <c r="A55" s="149"/>
      <c r="B55" s="50"/>
      <c r="C55" s="405" t="s">
        <v>28</v>
      </c>
      <c r="D55" s="405" t="s">
        <v>161</v>
      </c>
      <c r="E55" s="410">
        <v>38000</v>
      </c>
      <c r="F55" s="410">
        <v>38000</v>
      </c>
      <c r="G55" s="410">
        <v>38000</v>
      </c>
      <c r="H55" s="76"/>
      <c r="I55" s="73"/>
      <c r="J55" s="73"/>
      <c r="K55" s="73"/>
      <c r="L55" s="73"/>
      <c r="M55" s="73"/>
      <c r="N55" s="73"/>
      <c r="O55" s="73"/>
      <c r="Q55" s="149"/>
      <c r="R55" s="149"/>
      <c r="S55" s="149"/>
      <c r="T55" s="149"/>
      <c r="U55" s="149"/>
      <c r="V55" s="149"/>
      <c r="W55" s="149"/>
      <c r="X55" s="149"/>
      <c r="Y55" s="149"/>
      <c r="Z55" s="149"/>
      <c r="AA55" s="149"/>
      <c r="AB55" s="149"/>
      <c r="AC55" s="149"/>
      <c r="AD55" s="149"/>
    </row>
    <row r="56" spans="1:30" ht="28" x14ac:dyDescent="0.15">
      <c r="A56" s="149"/>
      <c r="B56" s="50"/>
      <c r="C56" s="405" t="s">
        <v>84</v>
      </c>
      <c r="D56" s="405" t="s">
        <v>157</v>
      </c>
      <c r="E56" s="414">
        <v>3</v>
      </c>
      <c r="F56" s="414">
        <v>3</v>
      </c>
      <c r="G56" s="414">
        <v>3</v>
      </c>
      <c r="H56" s="50"/>
      <c r="I56" s="84"/>
      <c r="J56" s="84"/>
      <c r="K56" s="84"/>
      <c r="L56" s="84"/>
      <c r="M56" s="84"/>
      <c r="N56" s="84"/>
      <c r="O56" s="73"/>
      <c r="Q56" s="149"/>
      <c r="R56" s="149"/>
      <c r="S56" s="149"/>
      <c r="T56" s="149"/>
      <c r="U56" s="149"/>
      <c r="V56" s="149"/>
      <c r="W56" s="149"/>
      <c r="X56" s="149"/>
      <c r="Y56" s="149"/>
      <c r="Z56" s="149"/>
      <c r="AA56" s="149"/>
      <c r="AB56" s="149"/>
      <c r="AC56" s="149"/>
      <c r="AD56" s="149"/>
    </row>
    <row r="57" spans="1:30" ht="42" x14ac:dyDescent="0.15">
      <c r="A57" s="149"/>
      <c r="B57" s="78"/>
      <c r="C57" s="405" t="s">
        <v>85</v>
      </c>
      <c r="D57" s="405" t="s">
        <v>173</v>
      </c>
      <c r="E57" s="414">
        <f t="shared" ref="E57:G57" si="5">E55*E56</f>
        <v>114000</v>
      </c>
      <c r="F57" s="414">
        <f t="shared" si="5"/>
        <v>114000</v>
      </c>
      <c r="G57" s="414">
        <f t="shared" si="5"/>
        <v>114000</v>
      </c>
      <c r="H57" s="78"/>
      <c r="Q57" s="149"/>
      <c r="R57" s="149"/>
      <c r="S57" s="149"/>
      <c r="T57" s="149"/>
      <c r="U57" s="149"/>
      <c r="V57" s="149"/>
      <c r="W57" s="149"/>
      <c r="X57" s="149"/>
      <c r="Y57" s="149"/>
      <c r="Z57" s="149"/>
      <c r="AA57" s="149"/>
      <c r="AB57" s="149"/>
      <c r="AC57" s="149"/>
      <c r="AD57" s="149"/>
    </row>
    <row r="58" spans="1:30" ht="56" x14ac:dyDescent="0.15">
      <c r="A58" s="149"/>
      <c r="B58" s="78"/>
      <c r="C58" s="405" t="s">
        <v>86</v>
      </c>
      <c r="D58" s="405" t="s">
        <v>174</v>
      </c>
      <c r="E58" s="419">
        <v>0.49</v>
      </c>
      <c r="F58" s="419">
        <v>0.49</v>
      </c>
      <c r="G58" s="419">
        <v>0.49</v>
      </c>
      <c r="H58" s="78"/>
      <c r="Q58" s="149"/>
      <c r="R58" s="149"/>
      <c r="S58" s="149"/>
      <c r="T58" s="149"/>
      <c r="U58" s="149"/>
      <c r="V58" s="149"/>
      <c r="W58" s="149"/>
      <c r="X58" s="149"/>
      <c r="Y58" s="149"/>
      <c r="Z58" s="149"/>
      <c r="AA58" s="149"/>
      <c r="AB58" s="149"/>
      <c r="AC58" s="149"/>
      <c r="AD58" s="149"/>
    </row>
    <row r="59" spans="1:30" ht="70" x14ac:dyDescent="0.15">
      <c r="A59" s="149"/>
      <c r="B59" s="78"/>
      <c r="C59" s="405" t="s">
        <v>87</v>
      </c>
      <c r="D59" s="405" t="s">
        <v>175</v>
      </c>
      <c r="E59" s="411">
        <v>4</v>
      </c>
      <c r="F59" s="411">
        <v>6</v>
      </c>
      <c r="G59" s="411">
        <v>8</v>
      </c>
      <c r="H59" s="78"/>
      <c r="Q59" s="149"/>
      <c r="R59" s="149"/>
      <c r="S59" s="149"/>
      <c r="T59" s="149"/>
      <c r="U59" s="149"/>
      <c r="V59" s="149"/>
      <c r="W59" s="149"/>
      <c r="X59" s="149"/>
      <c r="Y59" s="149"/>
      <c r="Z59" s="149"/>
      <c r="AA59" s="149"/>
      <c r="AB59" s="149"/>
      <c r="AC59" s="149"/>
      <c r="AD59" s="149"/>
    </row>
    <row r="60" spans="1:30" ht="12.75" customHeight="1" x14ac:dyDescent="0.15">
      <c r="A60" s="149"/>
      <c r="B60" s="78"/>
      <c r="C60" s="405" t="s">
        <v>88</v>
      </c>
      <c r="D60" s="405" t="s">
        <v>176</v>
      </c>
      <c r="E60" s="420">
        <f>E52/260</f>
        <v>331.73999999999995</v>
      </c>
      <c r="F60" s="420">
        <f t="shared" ref="F60:G60" si="6">F52/260</f>
        <v>331.73999999999995</v>
      </c>
      <c r="G60" s="420">
        <f t="shared" si="6"/>
        <v>331.73999999999995</v>
      </c>
      <c r="H60" s="78"/>
      <c r="Q60" s="149"/>
      <c r="R60" s="149"/>
      <c r="S60" s="149"/>
      <c r="T60" s="149"/>
      <c r="U60" s="149"/>
      <c r="V60" s="149"/>
      <c r="W60" s="149"/>
      <c r="X60" s="149"/>
      <c r="Y60" s="149"/>
      <c r="Z60" s="149"/>
      <c r="AA60" s="149"/>
      <c r="AB60" s="149"/>
      <c r="AC60" s="149"/>
      <c r="AD60" s="149"/>
    </row>
    <row r="61" spans="1:30" s="139" customFormat="1" ht="12.75" customHeight="1" x14ac:dyDescent="0.15">
      <c r="A61" s="149"/>
      <c r="B61" s="59"/>
      <c r="C61" s="372" t="s">
        <v>177</v>
      </c>
      <c r="D61" s="366"/>
      <c r="E61" s="361"/>
      <c r="F61" s="361"/>
      <c r="G61" s="361"/>
      <c r="H61" s="59"/>
      <c r="I61" s="63"/>
      <c r="J61" s="63"/>
      <c r="K61" s="63"/>
      <c r="L61" s="63"/>
      <c r="M61" s="63"/>
      <c r="N61" s="63"/>
      <c r="O61" s="63"/>
      <c r="P61" s="63"/>
      <c r="Q61" s="149"/>
      <c r="R61" s="149"/>
      <c r="S61" s="149"/>
      <c r="T61" s="149"/>
      <c r="U61" s="149"/>
      <c r="V61" s="149"/>
      <c r="W61" s="149"/>
      <c r="X61" s="149"/>
      <c r="Y61" s="149"/>
      <c r="Z61" s="149"/>
      <c r="AA61" s="149"/>
      <c r="AB61" s="149"/>
      <c r="AC61" s="149"/>
      <c r="AD61" s="149"/>
    </row>
    <row r="62" spans="1:30" s="139" customFormat="1" ht="42" x14ac:dyDescent="0.15">
      <c r="A62" s="149"/>
      <c r="B62" s="78"/>
      <c r="C62" s="405" t="s">
        <v>26</v>
      </c>
      <c r="D62" s="405" t="s">
        <v>142</v>
      </c>
      <c r="E62" s="410">
        <v>2600</v>
      </c>
      <c r="F62" s="410">
        <v>2600</v>
      </c>
      <c r="G62" s="410">
        <v>2600</v>
      </c>
      <c r="H62" s="78"/>
      <c r="I62" s="63"/>
      <c r="J62" s="63"/>
      <c r="K62" s="63"/>
      <c r="L62" s="63"/>
      <c r="M62" s="63"/>
      <c r="N62" s="63"/>
      <c r="O62" s="63"/>
      <c r="P62" s="63"/>
      <c r="Q62" s="149"/>
      <c r="R62" s="149"/>
      <c r="S62" s="149"/>
      <c r="T62" s="149"/>
      <c r="U62" s="149"/>
      <c r="V62" s="149"/>
      <c r="W62" s="149"/>
      <c r="X62" s="149"/>
      <c r="Y62" s="149"/>
      <c r="Z62" s="149"/>
      <c r="AA62" s="149"/>
      <c r="AB62" s="149"/>
      <c r="AC62" s="149"/>
      <c r="AD62" s="149"/>
    </row>
    <row r="63" spans="1:30" s="139" customFormat="1" ht="28" x14ac:dyDescent="0.15">
      <c r="A63" s="149"/>
      <c r="B63" s="78"/>
      <c r="C63" s="405" t="s">
        <v>41</v>
      </c>
      <c r="D63" s="405" t="s">
        <v>157</v>
      </c>
      <c r="E63" s="414">
        <v>3</v>
      </c>
      <c r="F63" s="414">
        <v>3</v>
      </c>
      <c r="G63" s="414">
        <v>3</v>
      </c>
      <c r="H63" s="78"/>
      <c r="I63" s="63"/>
      <c r="J63" s="63"/>
      <c r="K63" s="63"/>
      <c r="L63" s="63"/>
      <c r="M63" s="63"/>
      <c r="N63" s="63"/>
      <c r="O63" s="63"/>
      <c r="P63" s="63"/>
      <c r="Q63" s="149"/>
      <c r="R63" s="149"/>
      <c r="S63" s="149"/>
      <c r="T63" s="149"/>
      <c r="U63" s="149"/>
      <c r="V63" s="149"/>
      <c r="W63" s="149"/>
      <c r="X63" s="149"/>
      <c r="Y63" s="149"/>
      <c r="Z63" s="149"/>
      <c r="AA63" s="149"/>
      <c r="AB63" s="149"/>
      <c r="AC63" s="149"/>
      <c r="AD63" s="149"/>
    </row>
    <row r="64" spans="1:30" s="139" customFormat="1" ht="42" x14ac:dyDescent="0.15">
      <c r="A64" s="149"/>
      <c r="B64" s="78"/>
      <c r="C64" s="405" t="s">
        <v>42</v>
      </c>
      <c r="D64" s="405" t="s">
        <v>144</v>
      </c>
      <c r="E64" s="414">
        <f>E62*E63</f>
        <v>7800</v>
      </c>
      <c r="F64" s="414">
        <f>F62*F63</f>
        <v>7800</v>
      </c>
      <c r="G64" s="414">
        <f>G62*G63</f>
        <v>7800</v>
      </c>
      <c r="H64" s="78"/>
      <c r="I64" s="63"/>
      <c r="J64" s="63"/>
      <c r="K64" s="63"/>
      <c r="L64" s="63"/>
      <c r="M64" s="63"/>
      <c r="N64" s="63"/>
      <c r="O64" s="63"/>
      <c r="P64" s="63"/>
      <c r="Q64" s="149"/>
      <c r="R64" s="149"/>
      <c r="S64" s="149"/>
      <c r="T64" s="149"/>
      <c r="U64" s="149"/>
      <c r="V64" s="149"/>
      <c r="W64" s="149"/>
      <c r="X64" s="149"/>
      <c r="Y64" s="149"/>
      <c r="Z64" s="149"/>
      <c r="AA64" s="149"/>
      <c r="AB64" s="149"/>
      <c r="AC64" s="149"/>
      <c r="AD64" s="149"/>
    </row>
    <row r="65" spans="1:30" s="139" customFormat="1" ht="70" x14ac:dyDescent="0.15">
      <c r="A65" s="149"/>
      <c r="B65" s="78"/>
      <c r="C65" s="405" t="s">
        <v>91</v>
      </c>
      <c r="D65" s="405" t="s">
        <v>145</v>
      </c>
      <c r="E65" s="408">
        <f>E11</f>
        <v>2.8150000000000001E-2</v>
      </c>
      <c r="F65" s="408">
        <f>F11</f>
        <v>4.8149999999999998E-2</v>
      </c>
      <c r="G65" s="408">
        <f>G11</f>
        <v>6.8150000000000002E-2</v>
      </c>
      <c r="H65" s="78"/>
      <c r="I65" s="63"/>
      <c r="J65" s="63"/>
      <c r="K65" s="63"/>
      <c r="L65" s="63"/>
      <c r="M65" s="63"/>
      <c r="N65" s="63"/>
      <c r="O65" s="63"/>
      <c r="P65" s="63"/>
      <c r="Q65" s="149"/>
      <c r="R65" s="149"/>
      <c r="S65" s="149"/>
      <c r="T65" s="149"/>
      <c r="U65" s="149"/>
      <c r="V65" s="149"/>
      <c r="W65" s="149"/>
      <c r="X65" s="149"/>
      <c r="Y65" s="149"/>
      <c r="Z65" s="149"/>
      <c r="AA65" s="149"/>
      <c r="AB65" s="149"/>
      <c r="AC65" s="149"/>
      <c r="AD65" s="149"/>
    </row>
    <row r="66" spans="1:30" s="139" customFormat="1" ht="42" x14ac:dyDescent="0.15">
      <c r="A66" s="149"/>
      <c r="B66" s="78"/>
      <c r="C66" s="405" t="s">
        <v>92</v>
      </c>
      <c r="D66" s="405" t="s">
        <v>178</v>
      </c>
      <c r="E66" s="421">
        <v>1827.47</v>
      </c>
      <c r="F66" s="421">
        <v>1827.47</v>
      </c>
      <c r="G66" s="421">
        <v>1827.47</v>
      </c>
      <c r="H66" s="78"/>
      <c r="I66" s="63"/>
      <c r="J66" s="63"/>
      <c r="K66" s="63"/>
      <c r="L66" s="63"/>
      <c r="M66" s="63"/>
      <c r="N66" s="63"/>
      <c r="O66" s="63"/>
      <c r="P66" s="63"/>
      <c r="Q66" s="149"/>
      <c r="R66" s="149"/>
      <c r="S66" s="149"/>
      <c r="T66" s="149"/>
      <c r="U66" s="149"/>
      <c r="V66" s="149"/>
      <c r="W66" s="149"/>
      <c r="X66" s="149"/>
      <c r="Y66" s="149"/>
      <c r="Z66" s="149"/>
      <c r="AA66" s="149"/>
      <c r="AB66" s="149"/>
      <c r="AC66" s="149"/>
      <c r="AD66" s="149"/>
    </row>
    <row r="67" spans="1:30" s="139" customFormat="1" ht="70" x14ac:dyDescent="0.15">
      <c r="A67" s="149"/>
      <c r="B67" s="78"/>
      <c r="C67" s="405" t="s">
        <v>93</v>
      </c>
      <c r="D67" s="405" t="s">
        <v>179</v>
      </c>
      <c r="E67" s="412">
        <v>38</v>
      </c>
      <c r="F67" s="412">
        <v>38</v>
      </c>
      <c r="G67" s="412">
        <v>38</v>
      </c>
      <c r="H67" s="78"/>
      <c r="I67" s="63"/>
      <c r="J67" s="63"/>
      <c r="K67" s="63"/>
      <c r="L67" s="63"/>
      <c r="M67" s="63"/>
      <c r="N67" s="63"/>
      <c r="O67" s="63"/>
      <c r="P67" s="63"/>
      <c r="Q67" s="149"/>
      <c r="R67" s="149"/>
      <c r="S67" s="149"/>
      <c r="T67" s="149"/>
      <c r="U67" s="149"/>
      <c r="V67" s="149"/>
      <c r="W67" s="149"/>
      <c r="X67" s="149"/>
      <c r="Y67" s="149"/>
      <c r="Z67" s="149"/>
      <c r="AA67" s="149"/>
      <c r="AB67" s="149"/>
      <c r="AC67" s="149"/>
      <c r="AD67" s="149"/>
    </row>
    <row r="68" spans="1:30" s="139" customFormat="1" ht="56" x14ac:dyDescent="0.15">
      <c r="A68" s="149"/>
      <c r="B68" s="78"/>
      <c r="C68" s="405" t="s">
        <v>94</v>
      </c>
      <c r="D68" s="405" t="s">
        <v>180</v>
      </c>
      <c r="E68" s="412">
        <v>37.549999999999997</v>
      </c>
      <c r="F68" s="412">
        <v>37.549999999999997</v>
      </c>
      <c r="G68" s="412">
        <v>37.549999999999997</v>
      </c>
      <c r="H68" s="78"/>
      <c r="I68" s="63"/>
      <c r="J68" s="63"/>
      <c r="K68" s="63"/>
      <c r="L68" s="63"/>
      <c r="M68" s="63"/>
      <c r="N68" s="63"/>
      <c r="O68" s="63"/>
      <c r="P68" s="63"/>
      <c r="Q68" s="149"/>
      <c r="R68" s="149"/>
      <c r="S68" s="149"/>
      <c r="T68" s="149"/>
      <c r="U68" s="149"/>
      <c r="V68" s="149"/>
      <c r="W68" s="149"/>
      <c r="X68" s="149"/>
      <c r="Y68" s="149"/>
      <c r="Z68" s="149"/>
      <c r="AA68" s="149"/>
      <c r="AB68" s="149"/>
      <c r="AC68" s="149"/>
      <c r="AD68" s="149"/>
    </row>
    <row r="69" spans="1:30" x14ac:dyDescent="0.15">
      <c r="A69" s="149"/>
      <c r="B69" s="59"/>
      <c r="C69" s="78"/>
      <c r="D69" s="78"/>
      <c r="E69" s="78"/>
      <c r="F69" s="78"/>
      <c r="G69" s="78"/>
      <c r="H69" s="59"/>
      <c r="Q69" s="149"/>
      <c r="R69" s="149"/>
      <c r="S69" s="149"/>
      <c r="T69" s="149"/>
      <c r="U69" s="149"/>
      <c r="V69" s="149"/>
      <c r="W69" s="149"/>
      <c r="X69" s="149"/>
      <c r="Y69" s="149"/>
      <c r="Z69" s="149"/>
      <c r="AA69" s="149"/>
      <c r="AB69" s="149"/>
      <c r="AC69" s="149"/>
      <c r="AD69" s="149"/>
    </row>
    <row r="70" spans="1:30" s="52" customFormat="1" x14ac:dyDescent="0.15">
      <c r="C70" s="342"/>
      <c r="D70" s="342"/>
      <c r="E70" s="342"/>
      <c r="F70" s="342"/>
      <c r="G70" s="342"/>
    </row>
    <row r="71" spans="1:30" x14ac:dyDescent="0.15">
      <c r="A71" s="149"/>
      <c r="B71" s="60" t="s">
        <v>97</v>
      </c>
      <c r="C71" s="59"/>
      <c r="D71" s="59"/>
      <c r="E71" s="59"/>
      <c r="F71" s="59"/>
      <c r="G71" s="59"/>
      <c r="H71" s="59"/>
      <c r="Q71" s="149"/>
      <c r="R71" s="149"/>
      <c r="S71" s="149"/>
      <c r="T71" s="149"/>
      <c r="U71" s="149"/>
      <c r="V71" s="149"/>
      <c r="W71" s="149"/>
      <c r="X71" s="149"/>
      <c r="Y71" s="149"/>
      <c r="Z71" s="149"/>
      <c r="AA71" s="149"/>
      <c r="AB71" s="149"/>
      <c r="AC71" s="149"/>
      <c r="AD71" s="149"/>
    </row>
    <row r="72" spans="1:30" ht="12.75" customHeight="1" x14ac:dyDescent="0.15">
      <c r="A72" s="149"/>
      <c r="B72" s="59"/>
      <c r="C72" s="59"/>
      <c r="D72" s="59"/>
      <c r="E72" s="59"/>
      <c r="F72" s="59"/>
      <c r="G72" s="59"/>
      <c r="H72" s="59"/>
      <c r="Q72" s="149"/>
      <c r="R72" s="149"/>
      <c r="S72" s="149"/>
      <c r="T72" s="149"/>
      <c r="U72" s="149"/>
      <c r="V72" s="149"/>
      <c r="W72" s="149"/>
      <c r="X72" s="149"/>
      <c r="Y72" s="149"/>
      <c r="Z72" s="149"/>
      <c r="AA72" s="149"/>
      <c r="AB72" s="149"/>
      <c r="AC72" s="149"/>
      <c r="AD72" s="149"/>
    </row>
    <row r="73" spans="1:30" ht="12.75" customHeight="1" x14ac:dyDescent="0.15">
      <c r="A73" s="149"/>
      <c r="B73" s="78"/>
      <c r="C73" s="57" t="s">
        <v>38</v>
      </c>
      <c r="D73" s="58"/>
      <c r="E73" s="58"/>
      <c r="F73" s="58"/>
      <c r="G73" s="58"/>
      <c r="H73" s="59"/>
      <c r="Q73" s="149"/>
      <c r="R73" s="149"/>
      <c r="S73" s="149"/>
      <c r="T73" s="149"/>
      <c r="U73" s="149"/>
      <c r="V73" s="149"/>
      <c r="W73" s="149"/>
      <c r="X73" s="149"/>
      <c r="Y73" s="149"/>
      <c r="Z73" s="149"/>
      <c r="AA73" s="149"/>
      <c r="AB73" s="149"/>
      <c r="AC73" s="149"/>
      <c r="AD73" s="149"/>
    </row>
    <row r="74" spans="1:30" s="181" customFormat="1" ht="12.75" customHeight="1" x14ac:dyDescent="0.15">
      <c r="B74" s="78"/>
      <c r="C74" s="369" t="s">
        <v>138</v>
      </c>
      <c r="D74" s="363" t="s">
        <v>167</v>
      </c>
      <c r="E74" s="363" t="s">
        <v>140</v>
      </c>
      <c r="F74" s="363" t="s">
        <v>12</v>
      </c>
      <c r="G74" s="363" t="s">
        <v>141</v>
      </c>
      <c r="H74" s="59"/>
      <c r="I74" s="63"/>
      <c r="J74" s="63"/>
      <c r="K74" s="63"/>
      <c r="L74" s="63"/>
      <c r="M74" s="63"/>
      <c r="N74" s="63"/>
      <c r="O74" s="63"/>
      <c r="P74" s="63"/>
    </row>
    <row r="75" spans="1:30" ht="14" x14ac:dyDescent="0.15">
      <c r="A75" s="149"/>
      <c r="B75" s="78"/>
      <c r="C75" s="366" t="s">
        <v>259</v>
      </c>
      <c r="D75" s="367"/>
      <c r="E75" s="358"/>
      <c r="F75" s="358"/>
      <c r="G75" s="358"/>
      <c r="H75" s="78"/>
      <c r="Q75" s="149"/>
      <c r="R75" s="149"/>
      <c r="S75" s="149"/>
      <c r="T75" s="149"/>
      <c r="U75" s="149"/>
      <c r="V75" s="149"/>
      <c r="W75" s="149"/>
      <c r="X75" s="149"/>
      <c r="Y75" s="149"/>
      <c r="Z75" s="149"/>
      <c r="AA75" s="149"/>
      <c r="AB75" s="149"/>
      <c r="AC75" s="149"/>
      <c r="AD75" s="149"/>
    </row>
    <row r="76" spans="1:30" ht="13" customHeight="1" x14ac:dyDescent="0.15">
      <c r="A76" s="149"/>
      <c r="B76" s="78"/>
      <c r="C76" s="405" t="s">
        <v>228</v>
      </c>
      <c r="D76" s="405" t="s">
        <v>181</v>
      </c>
      <c r="E76" s="422">
        <f>'Data - Breakdown of Economic Co'!$F$76</f>
        <v>2600</v>
      </c>
      <c r="F76" s="422">
        <f>'Breakdown of Economic Costs '!$D$10</f>
        <v>2600</v>
      </c>
      <c r="G76" s="422">
        <f>'Data - Breakdown of Economic Co'!$F$76</f>
        <v>2600</v>
      </c>
      <c r="H76" s="78"/>
      <c r="I76" s="145"/>
      <c r="J76" s="403"/>
      <c r="K76" s="404"/>
      <c r="L76" s="47"/>
      <c r="Q76" s="149"/>
      <c r="R76" s="149"/>
      <c r="S76" s="149"/>
      <c r="T76" s="149"/>
      <c r="U76" s="149"/>
      <c r="V76" s="149"/>
      <c r="W76" s="149"/>
      <c r="X76" s="149"/>
      <c r="Y76" s="149"/>
      <c r="Z76" s="149"/>
      <c r="AA76" s="149"/>
      <c r="AB76" s="149"/>
      <c r="AC76" s="149"/>
      <c r="AD76" s="149"/>
    </row>
    <row r="77" spans="1:30" ht="13" customHeight="1" x14ac:dyDescent="0.15">
      <c r="A77" s="149"/>
      <c r="B77" s="78"/>
      <c r="C77" s="405" t="s">
        <v>229</v>
      </c>
      <c r="D77" s="405" t="s">
        <v>143</v>
      </c>
      <c r="E77" s="409">
        <f>F77</f>
        <v>3</v>
      </c>
      <c r="F77" s="409">
        <f>'Breakdown of Economic Costs '!$D$15</f>
        <v>3</v>
      </c>
      <c r="G77" s="409">
        <f>'Data - Breakdown of Economic Co'!$F$77</f>
        <v>3</v>
      </c>
      <c r="H77" s="78"/>
      <c r="J77" s="403"/>
      <c r="K77" s="404"/>
      <c r="L77" s="47"/>
      <c r="Q77" s="149"/>
      <c r="R77" s="149"/>
      <c r="S77" s="149"/>
      <c r="T77" s="149"/>
      <c r="U77" s="149"/>
      <c r="V77" s="149"/>
      <c r="W77" s="149"/>
      <c r="X77" s="149"/>
      <c r="Y77" s="149"/>
      <c r="Z77" s="149"/>
      <c r="AA77" s="149"/>
      <c r="AB77" s="149"/>
      <c r="AC77" s="149"/>
      <c r="AD77" s="149"/>
    </row>
    <row r="78" spans="1:30" ht="13" customHeight="1" x14ac:dyDescent="0.15">
      <c r="A78" s="149"/>
      <c r="B78" s="78"/>
      <c r="C78" s="405" t="s">
        <v>99</v>
      </c>
      <c r="D78" s="405" t="s">
        <v>182</v>
      </c>
      <c r="E78" s="409">
        <f>'Data - Breakdown of Economic Co'!$F$78</f>
        <v>7800</v>
      </c>
      <c r="F78" s="409">
        <f>SUM($F$76*$F$77)</f>
        <v>7800</v>
      </c>
      <c r="G78" s="409">
        <f>'Data - Breakdown of Economic Co'!$F$78</f>
        <v>7800</v>
      </c>
      <c r="H78" s="78"/>
      <c r="J78" s="403"/>
      <c r="K78" s="404"/>
      <c r="L78" s="47"/>
      <c r="Q78" s="149"/>
      <c r="R78" s="149"/>
      <c r="S78" s="149"/>
      <c r="T78" s="149"/>
      <c r="U78" s="149"/>
      <c r="V78" s="149"/>
      <c r="W78" s="149"/>
      <c r="X78" s="149"/>
      <c r="Y78" s="149"/>
      <c r="Z78" s="149"/>
      <c r="AA78" s="149"/>
      <c r="AB78" s="149"/>
      <c r="AC78" s="149"/>
      <c r="AD78" s="149"/>
    </row>
    <row r="79" spans="1:30" ht="13" customHeight="1" x14ac:dyDescent="0.15">
      <c r="A79" s="149"/>
      <c r="B79" s="78"/>
      <c r="C79" s="405" t="s">
        <v>100</v>
      </c>
      <c r="D79" s="405" t="s">
        <v>183</v>
      </c>
      <c r="E79" s="408">
        <f>'Data - Breakdown of Economic Co'!$F$79*0.9</f>
        <v>0.12600000000000003</v>
      </c>
      <c r="F79" s="408">
        <v>0.14000000000000001</v>
      </c>
      <c r="G79" s="408">
        <f>'Data - Breakdown of Economic Co'!$F$79*1.1</f>
        <v>0.15400000000000003</v>
      </c>
      <c r="H79" s="78"/>
      <c r="J79" s="403"/>
      <c r="K79" s="404"/>
      <c r="L79" s="47"/>
      <c r="Q79" s="149"/>
      <c r="R79" s="149"/>
      <c r="S79" s="149"/>
      <c r="T79" s="149"/>
      <c r="U79" s="149"/>
      <c r="V79" s="149"/>
      <c r="W79" s="149"/>
      <c r="X79" s="149"/>
      <c r="Y79" s="149"/>
      <c r="Z79" s="149"/>
      <c r="AA79" s="149"/>
      <c r="AB79" s="149"/>
      <c r="AC79" s="149"/>
      <c r="AD79" s="149"/>
    </row>
    <row r="80" spans="1:30" ht="13" customHeight="1" x14ac:dyDescent="0.15">
      <c r="A80" s="149"/>
      <c r="B80" s="78"/>
      <c r="C80" s="405" t="s">
        <v>101</v>
      </c>
      <c r="D80" s="405" t="s">
        <v>184</v>
      </c>
      <c r="E80" s="423">
        <f>SUM('Data - Breakdown of Economic Co'!$F$80-2)</f>
        <v>6</v>
      </c>
      <c r="F80" s="423">
        <v>8</v>
      </c>
      <c r="G80" s="423">
        <f>'Data - Breakdown of Economic Co'!$F$80+2</f>
        <v>10</v>
      </c>
      <c r="H80" s="78"/>
      <c r="J80" s="403"/>
      <c r="K80" s="404"/>
      <c r="L80" s="47"/>
      <c r="Q80" s="149"/>
      <c r="R80" s="149"/>
      <c r="S80" s="149"/>
      <c r="T80" s="149"/>
      <c r="U80" s="149"/>
      <c r="V80" s="149"/>
      <c r="W80" s="149"/>
      <c r="X80" s="149"/>
      <c r="Y80" s="149"/>
      <c r="Z80" s="149"/>
      <c r="AA80" s="149"/>
      <c r="AB80" s="149"/>
      <c r="AC80" s="149"/>
      <c r="AD80" s="149"/>
    </row>
    <row r="81" spans="1:30" ht="13" customHeight="1" x14ac:dyDescent="0.15">
      <c r="A81" s="149"/>
      <c r="B81" s="78"/>
      <c r="C81" s="405" t="s">
        <v>102</v>
      </c>
      <c r="D81" s="405" t="s">
        <v>185</v>
      </c>
      <c r="E81" s="424">
        <f>'Data - Breakdown of Economic Co'!$F$81-50</f>
        <v>300</v>
      </c>
      <c r="F81" s="425">
        <v>350</v>
      </c>
      <c r="G81" s="424">
        <f>'Data - Breakdown of Economic Co'!$F$81+50</f>
        <v>400</v>
      </c>
      <c r="H81" s="78"/>
      <c r="J81" s="403"/>
      <c r="K81" s="404"/>
      <c r="L81" s="47"/>
      <c r="Q81" s="149"/>
      <c r="R81" s="149"/>
      <c r="S81" s="149"/>
      <c r="T81" s="149"/>
      <c r="U81" s="149"/>
      <c r="V81" s="149"/>
      <c r="W81" s="149"/>
      <c r="X81" s="149"/>
      <c r="Y81" s="149"/>
      <c r="Z81" s="149"/>
      <c r="AA81" s="149"/>
      <c r="AB81" s="149"/>
      <c r="AC81" s="149"/>
      <c r="AD81" s="149"/>
    </row>
    <row r="82" spans="1:30" ht="13" customHeight="1" x14ac:dyDescent="0.15">
      <c r="A82" s="149"/>
      <c r="B82" s="78"/>
      <c r="C82" s="405" t="s">
        <v>103</v>
      </c>
      <c r="D82" s="405" t="s">
        <v>186</v>
      </c>
      <c r="E82" s="408">
        <f>'Data - Breakdown of Economic Co'!$F$82*0.95</f>
        <v>0.8929999999999999</v>
      </c>
      <c r="F82" s="426">
        <v>0.94</v>
      </c>
      <c r="G82" s="408">
        <f>'Data - Breakdown of Economic Co'!$F$82*1.05</f>
        <v>0.98699999999999999</v>
      </c>
      <c r="H82" s="59"/>
      <c r="J82" s="403"/>
      <c r="K82" s="404"/>
      <c r="L82" s="47"/>
      <c r="Q82" s="149"/>
      <c r="R82" s="149"/>
      <c r="S82" s="149"/>
      <c r="T82" s="149"/>
      <c r="U82" s="149"/>
      <c r="V82" s="149"/>
      <c r="W82" s="149"/>
      <c r="X82" s="149"/>
      <c r="Y82" s="149"/>
      <c r="Z82" s="149"/>
      <c r="AA82" s="149"/>
      <c r="AB82" s="149"/>
      <c r="AC82" s="149"/>
      <c r="AD82" s="149"/>
    </row>
    <row r="83" spans="1:30" ht="14" x14ac:dyDescent="0.15">
      <c r="A83" s="149"/>
      <c r="B83" s="78"/>
      <c r="C83" s="430" t="s">
        <v>187</v>
      </c>
      <c r="D83" s="429" t="s">
        <v>187</v>
      </c>
      <c r="E83" s="427">
        <f>SUM('Data - Breakdown of Economic Co'!E79*'Data - Breakdown of Economic Co'!E80*'Data - Breakdown of Economic Co'!E81*'Data - Breakdown of Economic Co'!E82)</f>
        <v>202.53240000000005</v>
      </c>
      <c r="F83" s="427">
        <f>SUM('Data - Breakdown of Economic Co'!F79*'Data - Breakdown of Economic Co'!F80*'Data - Breakdown of Economic Co'!F81*'Data - Breakdown of Economic Co'!F82)</f>
        <v>368.48</v>
      </c>
      <c r="G83" s="428">
        <f>SUM('Data - Breakdown of Economic Co'!G79*'Data - Breakdown of Economic Co'!G80*'Data - Breakdown of Economic Co'!G81*'Data - Breakdown of Economic Co'!G82)</f>
        <v>607.99200000000008</v>
      </c>
      <c r="H83" s="78"/>
      <c r="J83" s="47"/>
      <c r="K83" s="47"/>
      <c r="L83" s="47"/>
      <c r="Q83" s="149"/>
      <c r="R83" s="149"/>
      <c r="S83" s="149"/>
      <c r="T83" s="149"/>
      <c r="U83" s="149"/>
      <c r="V83" s="149"/>
      <c r="W83" s="149"/>
      <c r="X83" s="149"/>
      <c r="Y83" s="149"/>
      <c r="Z83" s="149"/>
      <c r="AA83" s="149"/>
      <c r="AB83" s="149"/>
      <c r="AC83" s="149"/>
      <c r="AD83" s="149"/>
    </row>
    <row r="84" spans="1:30" ht="15" thickBot="1" x14ac:dyDescent="0.2">
      <c r="A84" s="149"/>
      <c r="B84" s="78"/>
      <c r="C84" s="458" t="s">
        <v>188</v>
      </c>
      <c r="D84" s="431"/>
      <c r="E84" s="202">
        <f>SUM('Data - Breakdown of Economic Co'!E83*'Data - Breakdown of Economic Co'!E78)</f>
        <v>1579752.7200000004</v>
      </c>
      <c r="F84" s="202">
        <f>SUM('Data - Breakdown of Economic Co'!F83*'Data - Breakdown of Economic Co'!F78)</f>
        <v>2874144</v>
      </c>
      <c r="G84" s="459">
        <f>SUM('Data - Breakdown of Economic Co'!G83*'Data - Breakdown of Economic Co'!G78)</f>
        <v>4742337.6000000006</v>
      </c>
      <c r="H84" s="78"/>
      <c r="J84" s="47"/>
      <c r="K84" s="47"/>
      <c r="L84" s="47"/>
      <c r="Q84" s="149"/>
      <c r="R84" s="149"/>
      <c r="S84" s="149"/>
      <c r="T84" s="149"/>
      <c r="U84" s="149"/>
      <c r="V84" s="149"/>
      <c r="W84" s="149"/>
      <c r="X84" s="149"/>
      <c r="Y84" s="149"/>
      <c r="Z84" s="149"/>
      <c r="AA84" s="149"/>
      <c r="AB84" s="149"/>
      <c r="AC84" s="149"/>
      <c r="AD84" s="149"/>
    </row>
    <row r="85" spans="1:30" ht="15" thickTop="1" x14ac:dyDescent="0.15">
      <c r="A85" s="149"/>
      <c r="B85" s="78"/>
      <c r="C85" s="460" t="s">
        <v>189</v>
      </c>
      <c r="D85" s="366"/>
      <c r="E85" s="361"/>
      <c r="F85" s="361"/>
      <c r="G85" s="461"/>
      <c r="H85" s="78"/>
      <c r="J85" s="47"/>
      <c r="K85" s="47"/>
      <c r="L85" s="47"/>
      <c r="Q85" s="149"/>
      <c r="R85" s="149"/>
      <c r="S85" s="149"/>
      <c r="T85" s="149"/>
      <c r="U85" s="149"/>
      <c r="V85" s="149"/>
      <c r="W85" s="149"/>
      <c r="X85" s="149"/>
      <c r="Y85" s="149"/>
      <c r="Z85" s="149"/>
      <c r="AA85" s="149"/>
      <c r="AB85" s="149"/>
      <c r="AC85" s="149"/>
      <c r="AD85" s="149"/>
    </row>
    <row r="86" spans="1:30" ht="14" x14ac:dyDescent="0.15">
      <c r="A86" s="149"/>
      <c r="B86" s="78"/>
      <c r="C86" s="405" t="s">
        <v>228</v>
      </c>
      <c r="D86" s="405" t="s">
        <v>181</v>
      </c>
      <c r="E86" s="422">
        <f>F86</f>
        <v>2600</v>
      </c>
      <c r="F86" s="422">
        <f>'Breakdown of Economic Costs '!D10</f>
        <v>2600</v>
      </c>
      <c r="G86" s="422">
        <f>F86</f>
        <v>2600</v>
      </c>
      <c r="H86" s="78"/>
      <c r="J86" s="47"/>
      <c r="K86" s="47"/>
      <c r="L86" s="47"/>
      <c r="Q86" s="149"/>
      <c r="R86" s="149"/>
      <c r="S86" s="149"/>
      <c r="T86" s="149"/>
      <c r="U86" s="149"/>
      <c r="V86" s="149"/>
      <c r="W86" s="149"/>
      <c r="X86" s="149"/>
      <c r="Y86" s="149"/>
      <c r="Z86" s="149"/>
      <c r="AA86" s="149"/>
      <c r="AB86" s="149"/>
      <c r="AC86" s="149"/>
      <c r="AD86" s="149"/>
    </row>
    <row r="87" spans="1:30" ht="14" x14ac:dyDescent="0.15">
      <c r="A87" s="149"/>
      <c r="B87" s="78"/>
      <c r="C87" s="405" t="s">
        <v>233</v>
      </c>
      <c r="D87" s="405" t="s">
        <v>143</v>
      </c>
      <c r="E87" s="409">
        <f>F87</f>
        <v>3</v>
      </c>
      <c r="F87" s="409">
        <f>'Breakdown of Economic Costs '!D15</f>
        <v>3</v>
      </c>
      <c r="G87" s="409">
        <f>F87</f>
        <v>3</v>
      </c>
      <c r="H87" s="78"/>
      <c r="Q87" s="149"/>
      <c r="R87" s="149"/>
      <c r="S87" s="149"/>
      <c r="T87" s="149"/>
      <c r="U87" s="149"/>
      <c r="V87" s="149"/>
      <c r="W87" s="149"/>
      <c r="X87" s="149"/>
      <c r="Y87" s="149"/>
      <c r="Z87" s="149"/>
      <c r="AA87" s="149"/>
      <c r="AB87" s="149"/>
      <c r="AC87" s="149"/>
      <c r="AD87" s="149"/>
    </row>
    <row r="88" spans="1:30" ht="14" x14ac:dyDescent="0.15">
      <c r="A88" s="149"/>
      <c r="B88" s="78"/>
      <c r="C88" s="405" t="s">
        <v>99</v>
      </c>
      <c r="D88" s="405" t="s">
        <v>182</v>
      </c>
      <c r="E88" s="409">
        <f>F88</f>
        <v>7800</v>
      </c>
      <c r="F88" s="409">
        <f>SUM(F86*F87)</f>
        <v>7800</v>
      </c>
      <c r="G88" s="409">
        <f>F88</f>
        <v>7800</v>
      </c>
      <c r="H88" s="78"/>
      <c r="Q88" s="149"/>
      <c r="R88" s="149"/>
      <c r="S88" s="149"/>
      <c r="T88" s="149"/>
      <c r="U88" s="149"/>
      <c r="V88" s="149"/>
      <c r="W88" s="149"/>
      <c r="X88" s="149"/>
      <c r="Y88" s="149"/>
      <c r="Z88" s="149"/>
      <c r="AA88" s="149"/>
      <c r="AB88" s="149"/>
      <c r="AC88" s="149"/>
      <c r="AD88" s="149"/>
    </row>
    <row r="89" spans="1:30" ht="28" x14ac:dyDescent="0.15">
      <c r="A89" s="149"/>
      <c r="B89" s="78"/>
      <c r="C89" s="405" t="s">
        <v>106</v>
      </c>
      <c r="D89" s="405" t="s">
        <v>190</v>
      </c>
      <c r="E89" s="408">
        <f>F89*0.9</f>
        <v>0.18000000000000002</v>
      </c>
      <c r="F89" s="408">
        <v>0.2</v>
      </c>
      <c r="G89" s="408">
        <f>F89*1.1</f>
        <v>0.22000000000000003</v>
      </c>
      <c r="H89" s="78"/>
      <c r="Q89" s="149"/>
      <c r="R89" s="149"/>
      <c r="S89" s="149"/>
      <c r="T89" s="149"/>
      <c r="U89" s="149"/>
      <c r="V89" s="149"/>
      <c r="W89" s="149"/>
      <c r="X89" s="149"/>
      <c r="Y89" s="149"/>
      <c r="Z89" s="149"/>
      <c r="AA89" s="149"/>
      <c r="AB89" s="149"/>
      <c r="AC89" s="149"/>
      <c r="AD89" s="149"/>
    </row>
    <row r="90" spans="1:30" ht="14" x14ac:dyDescent="0.15">
      <c r="A90" s="149"/>
      <c r="B90" s="78"/>
      <c r="C90" s="405" t="s">
        <v>107</v>
      </c>
      <c r="D90" s="405" t="s">
        <v>191</v>
      </c>
      <c r="E90" s="411">
        <f>F90-2</f>
        <v>1</v>
      </c>
      <c r="F90" s="423">
        <v>3</v>
      </c>
      <c r="G90" s="411">
        <f>F90+2</f>
        <v>5</v>
      </c>
      <c r="H90" s="78"/>
      <c r="Q90" s="149"/>
      <c r="R90" s="149"/>
      <c r="S90" s="149"/>
      <c r="T90" s="149"/>
      <c r="U90" s="149"/>
      <c r="V90" s="149"/>
      <c r="W90" s="149"/>
      <c r="X90" s="149"/>
      <c r="Y90" s="149"/>
      <c r="Z90" s="149"/>
      <c r="AA90" s="149"/>
      <c r="AB90" s="149"/>
      <c r="AC90" s="149"/>
      <c r="AD90" s="149"/>
    </row>
    <row r="91" spans="1:30" ht="14" x14ac:dyDescent="0.15">
      <c r="A91" s="149"/>
      <c r="B91" s="78"/>
      <c r="C91" s="405" t="s">
        <v>108</v>
      </c>
      <c r="D91" s="405" t="s">
        <v>192</v>
      </c>
      <c r="E91" s="424">
        <v>75</v>
      </c>
      <c r="F91" s="425">
        <v>150</v>
      </c>
      <c r="G91" s="424">
        <v>275</v>
      </c>
      <c r="H91" s="78"/>
      <c r="Q91" s="149"/>
      <c r="R91" s="149"/>
      <c r="S91" s="149"/>
      <c r="T91" s="149"/>
      <c r="U91" s="149"/>
      <c r="V91" s="149"/>
      <c r="W91" s="149"/>
      <c r="X91" s="149"/>
      <c r="Y91" s="149"/>
      <c r="Z91" s="149"/>
      <c r="AA91" s="149"/>
      <c r="AB91" s="149"/>
      <c r="AC91" s="149"/>
      <c r="AD91" s="149"/>
    </row>
    <row r="92" spans="1:30" ht="14" x14ac:dyDescent="0.15">
      <c r="A92" s="149"/>
      <c r="B92" s="78"/>
      <c r="C92" s="448" t="s">
        <v>187</v>
      </c>
      <c r="D92" s="448" t="s">
        <v>187</v>
      </c>
      <c r="E92" s="457">
        <f>SUM('Data - Breakdown of Economic Co'!E89*'Data - Breakdown of Economic Co'!E90*'Data - Breakdown of Economic Co'!E91)</f>
        <v>13.500000000000002</v>
      </c>
      <c r="F92" s="457">
        <f>SUM('Data - Breakdown of Economic Co'!F91*'Data - Breakdown of Economic Co'!F90*'Data - Breakdown of Economic Co'!F89)</f>
        <v>90</v>
      </c>
      <c r="G92" s="457">
        <f>SUM('Data - Breakdown of Economic Co'!G90*'Data - Breakdown of Economic Co'!G91*'Data - Breakdown of Economic Co'!G89)</f>
        <v>302.50000000000006</v>
      </c>
      <c r="H92" s="78"/>
      <c r="Q92" s="149"/>
      <c r="R92" s="149"/>
      <c r="S92" s="149"/>
      <c r="T92" s="149"/>
      <c r="U92" s="149"/>
      <c r="V92" s="149"/>
      <c r="W92" s="149"/>
      <c r="X92" s="149"/>
      <c r="Y92" s="149"/>
      <c r="Z92" s="149"/>
      <c r="AA92" s="149"/>
      <c r="AB92" s="149"/>
      <c r="AC92" s="149"/>
      <c r="AD92" s="149"/>
    </row>
    <row r="93" spans="1:30" ht="15" thickBot="1" x14ac:dyDescent="0.2">
      <c r="A93" s="149"/>
      <c r="B93" s="78"/>
      <c r="C93" s="462" t="s">
        <v>188</v>
      </c>
      <c r="D93" s="454"/>
      <c r="E93" s="455">
        <f>SUM('Data - Breakdown of Economic Co'!E92*'Data - Breakdown of Economic Co'!E88)</f>
        <v>105300.00000000001</v>
      </c>
      <c r="F93" s="455">
        <f>SUM('Data - Breakdown of Economic Co'!F92*'Data - Breakdown of Economic Co'!F88)</f>
        <v>702000</v>
      </c>
      <c r="G93" s="463">
        <f>SUM('Data - Breakdown of Economic Co'!G92*'Data - Breakdown of Economic Co'!G88)</f>
        <v>2359500.0000000005</v>
      </c>
      <c r="H93" s="78"/>
      <c r="Q93" s="149"/>
      <c r="R93" s="149"/>
      <c r="S93" s="149"/>
      <c r="T93" s="149"/>
      <c r="U93" s="149"/>
      <c r="V93" s="149"/>
      <c r="W93" s="149"/>
      <c r="X93" s="149"/>
      <c r="Y93" s="149"/>
      <c r="Z93" s="149"/>
      <c r="AA93" s="149"/>
      <c r="AB93" s="149"/>
      <c r="AC93" s="149"/>
      <c r="AD93" s="149"/>
    </row>
    <row r="94" spans="1:30" ht="15" thickTop="1" x14ac:dyDescent="0.15">
      <c r="A94" s="149"/>
      <c r="B94" s="78"/>
      <c r="C94" s="460" t="s">
        <v>193</v>
      </c>
      <c r="D94" s="366"/>
      <c r="E94" s="361"/>
      <c r="F94" s="361"/>
      <c r="G94" s="461"/>
      <c r="H94" s="78"/>
      <c r="Q94" s="149"/>
      <c r="R94" s="149"/>
      <c r="S94" s="149"/>
      <c r="T94" s="149"/>
      <c r="U94" s="149"/>
      <c r="V94" s="149"/>
      <c r="W94" s="149"/>
      <c r="X94" s="149"/>
      <c r="Y94" s="149"/>
      <c r="Z94" s="149"/>
      <c r="AA94" s="149"/>
      <c r="AB94" s="149"/>
      <c r="AC94" s="149"/>
      <c r="AD94" s="149"/>
    </row>
    <row r="95" spans="1:30" ht="14" x14ac:dyDescent="0.15">
      <c r="A95" s="149"/>
      <c r="B95" s="78"/>
      <c r="C95" s="405" t="s">
        <v>228</v>
      </c>
      <c r="D95" s="405" t="s">
        <v>181</v>
      </c>
      <c r="E95" s="422">
        <f>F95</f>
        <v>2600</v>
      </c>
      <c r="F95" s="422">
        <f>'Breakdown of Economic Costs '!D10</f>
        <v>2600</v>
      </c>
      <c r="G95" s="422">
        <f>F95</f>
        <v>2600</v>
      </c>
      <c r="H95" s="78"/>
      <c r="Q95" s="149"/>
      <c r="R95" s="149"/>
      <c r="S95" s="149"/>
      <c r="T95" s="149"/>
      <c r="U95" s="149"/>
      <c r="V95" s="149"/>
      <c r="W95" s="149"/>
      <c r="X95" s="149"/>
      <c r="Y95" s="149"/>
      <c r="Z95" s="149"/>
      <c r="AA95" s="149"/>
      <c r="AB95" s="149"/>
      <c r="AC95" s="149"/>
      <c r="AD95" s="149"/>
    </row>
    <row r="96" spans="1:30" ht="14" x14ac:dyDescent="0.15">
      <c r="A96" s="149"/>
      <c r="B96" s="78"/>
      <c r="C96" s="405" t="s">
        <v>233</v>
      </c>
      <c r="D96" s="405" t="s">
        <v>143</v>
      </c>
      <c r="E96" s="432">
        <f>F96</f>
        <v>3</v>
      </c>
      <c r="F96" s="432">
        <f>'Breakdown of Economic Costs '!D15</f>
        <v>3</v>
      </c>
      <c r="G96" s="432">
        <f>F96</f>
        <v>3</v>
      </c>
      <c r="H96" s="78"/>
      <c r="Q96" s="149"/>
      <c r="R96" s="149"/>
      <c r="S96" s="149"/>
      <c r="T96" s="149"/>
      <c r="U96" s="149"/>
      <c r="V96" s="149"/>
      <c r="W96" s="149"/>
      <c r="X96" s="149"/>
      <c r="Y96" s="149"/>
      <c r="Z96" s="149"/>
      <c r="AA96" s="149"/>
      <c r="AB96" s="149"/>
      <c r="AC96" s="149"/>
      <c r="AD96" s="149"/>
    </row>
    <row r="97" spans="1:30" ht="14" x14ac:dyDescent="0.15">
      <c r="A97" s="149"/>
      <c r="B97" s="78"/>
      <c r="C97" s="405" t="s">
        <v>99</v>
      </c>
      <c r="D97" s="405" t="s">
        <v>182</v>
      </c>
      <c r="E97" s="432">
        <f>F97</f>
        <v>7800</v>
      </c>
      <c r="F97" s="432">
        <f>SUM(F95*F96)</f>
        <v>7800</v>
      </c>
      <c r="G97" s="432">
        <f>F97</f>
        <v>7800</v>
      </c>
      <c r="H97" s="78"/>
      <c r="Q97" s="149"/>
      <c r="R97" s="149"/>
      <c r="S97" s="149"/>
      <c r="T97" s="149"/>
      <c r="U97" s="149"/>
      <c r="V97" s="149"/>
      <c r="W97" s="149"/>
      <c r="X97" s="149"/>
      <c r="Y97" s="149"/>
      <c r="Z97" s="149"/>
      <c r="AA97" s="149"/>
      <c r="AB97" s="149"/>
      <c r="AC97" s="149"/>
      <c r="AD97" s="149"/>
    </row>
    <row r="98" spans="1:30" ht="14" x14ac:dyDescent="0.15">
      <c r="A98" s="149"/>
      <c r="B98" s="78"/>
      <c r="C98" s="405" t="s">
        <v>109</v>
      </c>
      <c r="D98" s="405" t="s">
        <v>194</v>
      </c>
      <c r="E98" s="408">
        <f>F98*0.85</f>
        <v>0.374</v>
      </c>
      <c r="F98" s="408">
        <v>0.44</v>
      </c>
      <c r="G98" s="408">
        <f>F98*1.15</f>
        <v>0.50600000000000001</v>
      </c>
      <c r="H98" s="78"/>
      <c r="Q98" s="149"/>
      <c r="R98" s="149"/>
      <c r="S98" s="149"/>
      <c r="T98" s="149"/>
      <c r="U98" s="149"/>
      <c r="V98" s="149"/>
      <c r="W98" s="149"/>
      <c r="X98" s="149"/>
      <c r="Y98" s="149"/>
      <c r="Z98" s="149"/>
      <c r="AA98" s="149"/>
      <c r="AB98" s="149"/>
      <c r="AC98" s="149"/>
      <c r="AD98" s="149"/>
    </row>
    <row r="99" spans="1:30" ht="14" x14ac:dyDescent="0.15">
      <c r="A99" s="149"/>
      <c r="B99" s="78"/>
      <c r="C99" s="405" t="s">
        <v>110</v>
      </c>
      <c r="D99" s="405" t="s">
        <v>195</v>
      </c>
      <c r="E99" s="424">
        <v>80</v>
      </c>
      <c r="F99" s="425">
        <v>150</v>
      </c>
      <c r="G99" s="424">
        <v>350</v>
      </c>
      <c r="H99" s="78"/>
      <c r="Q99" s="149"/>
      <c r="R99" s="149"/>
      <c r="S99" s="149"/>
      <c r="T99" s="149"/>
      <c r="U99" s="149"/>
      <c r="V99" s="149"/>
      <c r="W99" s="149"/>
      <c r="X99" s="149"/>
      <c r="Y99" s="149"/>
      <c r="Z99" s="149"/>
      <c r="AA99" s="149"/>
      <c r="AB99" s="149"/>
      <c r="AC99" s="149"/>
      <c r="AD99" s="149"/>
    </row>
    <row r="100" spans="1:30" ht="14" x14ac:dyDescent="0.15">
      <c r="A100" s="149"/>
      <c r="B100" s="78"/>
      <c r="C100" s="448" t="s">
        <v>187</v>
      </c>
      <c r="D100" s="448" t="s">
        <v>187</v>
      </c>
      <c r="E100" s="451">
        <f>SUM('Data - Breakdown of Economic Co'!E99*'Data - Breakdown of Economic Co'!E98)</f>
        <v>29.92</v>
      </c>
      <c r="F100" s="451">
        <f>SUM('Data - Breakdown of Economic Co'!F99*'Data - Breakdown of Economic Co'!F98)</f>
        <v>66</v>
      </c>
      <c r="G100" s="451">
        <f>SUM('Data - Breakdown of Economic Co'!G98*'Data - Breakdown of Economic Co'!G99)</f>
        <v>177.1</v>
      </c>
      <c r="H100" s="78"/>
      <c r="Q100" s="149"/>
      <c r="R100" s="149"/>
      <c r="S100" s="149"/>
      <c r="T100" s="149"/>
      <c r="U100" s="149"/>
      <c r="V100" s="149"/>
      <c r="W100" s="149"/>
      <c r="X100" s="149"/>
      <c r="Y100" s="149"/>
      <c r="Z100" s="149"/>
      <c r="AA100" s="149"/>
      <c r="AB100" s="149"/>
      <c r="AC100" s="149"/>
      <c r="AD100" s="149"/>
    </row>
    <row r="101" spans="1:30" ht="15" thickBot="1" x14ac:dyDescent="0.2">
      <c r="A101" s="149"/>
      <c r="B101" s="78"/>
      <c r="C101" s="462" t="s">
        <v>188</v>
      </c>
      <c r="D101" s="453"/>
      <c r="E101" s="455">
        <f>SUM('Data - Breakdown of Economic Co'!E100*'Data - Breakdown of Economic Co'!E97)</f>
        <v>233376</v>
      </c>
      <c r="F101" s="455">
        <f>SUM('Data - Breakdown of Economic Co'!F100*'Data - Breakdown of Economic Co'!F97)</f>
        <v>514800</v>
      </c>
      <c r="G101" s="463">
        <f>SUM('Data - Breakdown of Economic Co'!G100*'Data - Breakdown of Economic Co'!G97)</f>
        <v>1381380</v>
      </c>
      <c r="H101" s="78"/>
      <c r="Q101" s="149"/>
      <c r="R101" s="149"/>
      <c r="S101" s="149"/>
      <c r="T101" s="149"/>
      <c r="U101" s="149"/>
      <c r="V101" s="149"/>
      <c r="W101" s="149"/>
      <c r="X101" s="149"/>
      <c r="Y101" s="149"/>
      <c r="Z101" s="149"/>
      <c r="AA101" s="149"/>
      <c r="AB101" s="149"/>
      <c r="AC101" s="149"/>
      <c r="AD101" s="149"/>
    </row>
    <row r="102" spans="1:30" ht="15" thickTop="1" x14ac:dyDescent="0.15">
      <c r="A102" s="149"/>
      <c r="B102" s="78"/>
      <c r="C102" s="460" t="s">
        <v>196</v>
      </c>
      <c r="D102" s="366"/>
      <c r="E102" s="361"/>
      <c r="F102" s="361"/>
      <c r="G102" s="461"/>
      <c r="H102" s="59"/>
      <c r="Q102" s="149"/>
      <c r="R102" s="149"/>
      <c r="S102" s="149"/>
      <c r="T102" s="149"/>
      <c r="U102" s="149"/>
      <c r="V102" s="149"/>
      <c r="W102" s="149"/>
      <c r="X102" s="149"/>
      <c r="Y102" s="149"/>
      <c r="Z102" s="149"/>
      <c r="AA102" s="149"/>
      <c r="AB102" s="149"/>
      <c r="AC102" s="149"/>
      <c r="AD102" s="149"/>
    </row>
    <row r="103" spans="1:30" ht="14" x14ac:dyDescent="0.15">
      <c r="A103" s="149"/>
      <c r="B103" s="78"/>
      <c r="C103" s="405" t="s">
        <v>228</v>
      </c>
      <c r="D103" s="405" t="s">
        <v>181</v>
      </c>
      <c r="E103" s="422">
        <f>F103</f>
        <v>2600</v>
      </c>
      <c r="F103" s="422">
        <f>'Breakdown of Economic Costs '!D10</f>
        <v>2600</v>
      </c>
      <c r="G103" s="422">
        <f>F103</f>
        <v>2600</v>
      </c>
      <c r="H103" s="78"/>
      <c r="Q103" s="149"/>
      <c r="R103" s="149"/>
      <c r="S103" s="149"/>
      <c r="T103" s="149"/>
      <c r="U103" s="149"/>
      <c r="V103" s="149"/>
      <c r="W103" s="149"/>
      <c r="X103" s="149"/>
      <c r="Y103" s="149"/>
      <c r="Z103" s="149"/>
      <c r="AA103" s="149"/>
      <c r="AB103" s="149"/>
      <c r="AC103" s="149"/>
      <c r="AD103" s="149"/>
    </row>
    <row r="104" spans="1:30" ht="14" x14ac:dyDescent="0.15">
      <c r="A104" s="149"/>
      <c r="B104" s="78"/>
      <c r="C104" s="405" t="s">
        <v>233</v>
      </c>
      <c r="D104" s="405" t="s">
        <v>143</v>
      </c>
      <c r="E104" s="409">
        <f>F104</f>
        <v>3</v>
      </c>
      <c r="F104" s="409">
        <f>'Breakdown of Economic Costs '!D15</f>
        <v>3</v>
      </c>
      <c r="G104" s="409">
        <f>F104</f>
        <v>3</v>
      </c>
      <c r="H104" s="78"/>
      <c r="Q104" s="149"/>
      <c r="R104" s="149"/>
      <c r="S104" s="149"/>
      <c r="T104" s="149"/>
      <c r="U104" s="149"/>
      <c r="V104" s="149"/>
      <c r="W104" s="149"/>
      <c r="X104" s="149"/>
      <c r="Y104" s="149"/>
      <c r="Z104" s="149"/>
      <c r="AA104" s="149"/>
      <c r="AB104" s="149"/>
      <c r="AC104" s="149"/>
      <c r="AD104" s="149"/>
    </row>
    <row r="105" spans="1:30" ht="14" x14ac:dyDescent="0.15">
      <c r="A105" s="149"/>
      <c r="B105" s="78"/>
      <c r="C105" s="405" t="s">
        <v>99</v>
      </c>
      <c r="D105" s="405" t="s">
        <v>182</v>
      </c>
      <c r="E105" s="409">
        <f>F105</f>
        <v>7800</v>
      </c>
      <c r="F105" s="409">
        <f>SUM(F103*F104)</f>
        <v>7800</v>
      </c>
      <c r="G105" s="409">
        <f>F105</f>
        <v>7800</v>
      </c>
      <c r="H105" s="78"/>
      <c r="Q105" s="149"/>
      <c r="R105" s="149"/>
      <c r="S105" s="149"/>
      <c r="T105" s="149"/>
      <c r="U105" s="149"/>
      <c r="V105" s="149"/>
      <c r="W105" s="149"/>
      <c r="X105" s="149"/>
      <c r="Y105" s="149"/>
      <c r="Z105" s="149"/>
      <c r="AA105" s="149"/>
      <c r="AB105" s="149"/>
      <c r="AC105" s="149"/>
      <c r="AD105" s="149"/>
    </row>
    <row r="106" spans="1:30" ht="14" x14ac:dyDescent="0.15">
      <c r="A106" s="149"/>
      <c r="B106" s="78"/>
      <c r="C106" s="405" t="s">
        <v>112</v>
      </c>
      <c r="D106" s="405" t="s">
        <v>197</v>
      </c>
      <c r="E106" s="408">
        <f>F106*0.85</f>
        <v>0.28050000000000003</v>
      </c>
      <c r="F106" s="408">
        <v>0.33</v>
      </c>
      <c r="G106" s="408">
        <f>F106*1.15</f>
        <v>0.3795</v>
      </c>
      <c r="H106" s="78"/>
      <c r="Q106" s="149"/>
      <c r="R106" s="149"/>
      <c r="S106" s="149"/>
      <c r="T106" s="149"/>
      <c r="U106" s="149"/>
      <c r="V106" s="149"/>
      <c r="W106" s="149"/>
      <c r="X106" s="149"/>
      <c r="Y106" s="149"/>
      <c r="Z106" s="149"/>
      <c r="AA106" s="149"/>
      <c r="AB106" s="149"/>
      <c r="AC106" s="149"/>
      <c r="AD106" s="149"/>
    </row>
    <row r="107" spans="1:30" ht="14" x14ac:dyDescent="0.15">
      <c r="A107" s="149"/>
      <c r="B107" s="78"/>
      <c r="C107" s="405" t="s">
        <v>113</v>
      </c>
      <c r="D107" s="405" t="s">
        <v>198</v>
      </c>
      <c r="E107" s="411">
        <f>F107-2</f>
        <v>2</v>
      </c>
      <c r="F107" s="423">
        <v>4</v>
      </c>
      <c r="G107" s="411">
        <f>F107-2</f>
        <v>2</v>
      </c>
      <c r="H107" s="78"/>
      <c r="Q107" s="149"/>
      <c r="R107" s="149"/>
      <c r="S107" s="149"/>
      <c r="T107" s="149"/>
      <c r="U107" s="149"/>
      <c r="V107" s="149"/>
      <c r="W107" s="149"/>
      <c r="X107" s="149"/>
      <c r="Y107" s="149"/>
      <c r="Z107" s="149"/>
      <c r="AA107" s="149"/>
      <c r="AB107" s="149"/>
      <c r="AC107" s="149"/>
      <c r="AD107" s="149"/>
    </row>
    <row r="108" spans="1:30" ht="14" x14ac:dyDescent="0.15">
      <c r="A108" s="149"/>
      <c r="B108" s="78"/>
      <c r="C108" s="405" t="s">
        <v>114</v>
      </c>
      <c r="D108" s="405" t="s">
        <v>199</v>
      </c>
      <c r="E108" s="424">
        <f>F108*0.85</f>
        <v>215.9</v>
      </c>
      <c r="F108" s="424">
        <v>254</v>
      </c>
      <c r="G108" s="424">
        <f>F108*1.15</f>
        <v>292.09999999999997</v>
      </c>
      <c r="H108" s="78"/>
      <c r="Q108" s="149"/>
      <c r="R108" s="149"/>
      <c r="S108" s="149"/>
      <c r="T108" s="149"/>
      <c r="U108" s="149"/>
      <c r="V108" s="149"/>
      <c r="W108" s="149"/>
      <c r="X108" s="149"/>
      <c r="Y108" s="149"/>
      <c r="Z108" s="149"/>
      <c r="AA108" s="149"/>
      <c r="AB108" s="149"/>
      <c r="AC108" s="149"/>
      <c r="AD108" s="149"/>
    </row>
    <row r="109" spans="1:30" ht="14" x14ac:dyDescent="0.15">
      <c r="A109" s="149"/>
      <c r="B109" s="78"/>
      <c r="C109" s="448" t="s">
        <v>187</v>
      </c>
      <c r="D109" s="448" t="s">
        <v>187</v>
      </c>
      <c r="E109" s="451">
        <f>SUM('Data - Breakdown of Economic Co'!E108*'Data - Breakdown of Economic Co'!E107*'Data - Breakdown of Economic Co'!E106)</f>
        <v>121.11990000000002</v>
      </c>
      <c r="F109" s="451">
        <f>SUM('Data - Breakdown of Economic Co'!F108*'Data - Breakdown of Economic Co'!F107*'Data - Breakdown of Economic Co'!F106)</f>
        <v>335.28000000000003</v>
      </c>
      <c r="G109" s="451">
        <f>SUM('Data - Breakdown of Economic Co'!G108*'Data - Breakdown of Economic Co'!G107*'Data - Breakdown of Economic Co'!G106)</f>
        <v>221.70389999999998</v>
      </c>
      <c r="H109" s="78"/>
      <c r="Q109" s="149"/>
      <c r="R109" s="149"/>
      <c r="S109" s="149"/>
      <c r="T109" s="149"/>
      <c r="U109" s="149"/>
      <c r="V109" s="149"/>
      <c r="W109" s="149"/>
      <c r="X109" s="149"/>
      <c r="Y109" s="149"/>
      <c r="Z109" s="149"/>
      <c r="AA109" s="149"/>
      <c r="AB109" s="149"/>
      <c r="AC109" s="149"/>
      <c r="AD109" s="149"/>
    </row>
    <row r="110" spans="1:30" ht="15" thickBot="1" x14ac:dyDescent="0.2">
      <c r="A110" s="149"/>
      <c r="B110" s="78"/>
      <c r="C110" s="462" t="s">
        <v>188</v>
      </c>
      <c r="D110" s="456"/>
      <c r="E110" s="455">
        <f>SUM('Data - Breakdown of Economic Co'!E109*'Data - Breakdown of Economic Co'!E105)</f>
        <v>944735.22000000009</v>
      </c>
      <c r="F110" s="455">
        <f>SUM('Data - Breakdown of Economic Co'!F109*'Data - Breakdown of Economic Co'!F105)</f>
        <v>2615184</v>
      </c>
      <c r="G110" s="463">
        <f>SUM('Data - Breakdown of Economic Co'!G109*'Data - Breakdown of Economic Co'!G105)</f>
        <v>1729290.42</v>
      </c>
      <c r="H110" s="78"/>
      <c r="Q110" s="149"/>
      <c r="R110" s="149"/>
      <c r="S110" s="149"/>
      <c r="T110" s="149"/>
      <c r="U110" s="149"/>
      <c r="V110" s="149"/>
      <c r="W110" s="149"/>
      <c r="X110" s="149"/>
      <c r="Y110" s="149"/>
      <c r="Z110" s="149"/>
      <c r="AA110" s="149"/>
      <c r="AB110" s="149"/>
      <c r="AC110" s="149"/>
      <c r="AD110" s="149"/>
    </row>
    <row r="111" spans="1:30" ht="15" thickTop="1" x14ac:dyDescent="0.15">
      <c r="A111" s="149"/>
      <c r="B111" s="78"/>
      <c r="C111" s="460" t="s">
        <v>200</v>
      </c>
      <c r="D111" s="366"/>
      <c r="E111" s="361"/>
      <c r="F111" s="361"/>
      <c r="G111" s="461"/>
      <c r="H111" s="59"/>
      <c r="Q111" s="149"/>
      <c r="R111" s="149"/>
      <c r="S111" s="149"/>
      <c r="T111" s="149"/>
      <c r="U111" s="149"/>
      <c r="V111" s="149"/>
      <c r="W111" s="149"/>
      <c r="X111" s="149"/>
      <c r="Y111" s="149"/>
      <c r="Z111" s="149"/>
      <c r="AA111" s="149"/>
      <c r="AB111" s="149"/>
      <c r="AC111" s="149"/>
      <c r="AD111" s="149"/>
    </row>
    <row r="112" spans="1:30" ht="14" x14ac:dyDescent="0.15">
      <c r="A112" s="149"/>
      <c r="B112" s="78"/>
      <c r="C112" s="405" t="s">
        <v>228</v>
      </c>
      <c r="D112" s="405" t="s">
        <v>181</v>
      </c>
      <c r="E112" s="422">
        <f>F112</f>
        <v>2600</v>
      </c>
      <c r="F112" s="422">
        <f>'Breakdown of Economic Costs '!D10</f>
        <v>2600</v>
      </c>
      <c r="G112" s="422">
        <f>F112</f>
        <v>2600</v>
      </c>
      <c r="H112" s="78"/>
      <c r="Q112" s="149"/>
      <c r="R112" s="149"/>
      <c r="S112" s="149"/>
      <c r="T112" s="149"/>
      <c r="U112" s="149"/>
      <c r="V112" s="149"/>
      <c r="W112" s="149"/>
      <c r="X112" s="149"/>
      <c r="Y112" s="149"/>
      <c r="Z112" s="149"/>
      <c r="AA112" s="149"/>
      <c r="AB112" s="149"/>
      <c r="AC112" s="149"/>
      <c r="AD112" s="149"/>
    </row>
    <row r="113" spans="1:30" ht="14" x14ac:dyDescent="0.15">
      <c r="A113" s="149"/>
      <c r="B113" s="78"/>
      <c r="C113" s="405" t="s">
        <v>246</v>
      </c>
      <c r="D113" s="405" t="s">
        <v>201</v>
      </c>
      <c r="E113" s="409">
        <f>F113</f>
        <v>9</v>
      </c>
      <c r="F113" s="409">
        <f>SUM('Breakdown of Economic Costs '!D15+'Breakdown of Economic Costs '!D16)</f>
        <v>9</v>
      </c>
      <c r="G113" s="409">
        <f>F113</f>
        <v>9</v>
      </c>
      <c r="H113" s="78"/>
      <c r="Q113" s="149"/>
      <c r="R113" s="149"/>
      <c r="S113" s="149"/>
      <c r="T113" s="149"/>
      <c r="U113" s="149"/>
      <c r="V113" s="149"/>
      <c r="W113" s="149"/>
      <c r="X113" s="149"/>
      <c r="Y113" s="149"/>
      <c r="Z113" s="149"/>
      <c r="AA113" s="149"/>
      <c r="AB113" s="149"/>
      <c r="AC113" s="149"/>
      <c r="AD113" s="149"/>
    </row>
    <row r="114" spans="1:30" ht="14" x14ac:dyDescent="0.15">
      <c r="A114" s="149"/>
      <c r="B114" s="78"/>
      <c r="C114" s="405" t="s">
        <v>118</v>
      </c>
      <c r="D114" s="405" t="s">
        <v>182</v>
      </c>
      <c r="E114" s="422">
        <f>F114</f>
        <v>23400</v>
      </c>
      <c r="F114" s="422">
        <f>SUM(F112*F113)</f>
        <v>23400</v>
      </c>
      <c r="G114" s="422">
        <f>F114</f>
        <v>23400</v>
      </c>
      <c r="H114" s="78"/>
      <c r="Q114" s="149"/>
      <c r="R114" s="149"/>
      <c r="S114" s="149"/>
      <c r="T114" s="149"/>
      <c r="U114" s="149"/>
      <c r="V114" s="149"/>
      <c r="W114" s="149"/>
      <c r="X114" s="149"/>
      <c r="Y114" s="149"/>
      <c r="Z114" s="149"/>
      <c r="AA114" s="149"/>
      <c r="AB114" s="149"/>
      <c r="AC114" s="149"/>
      <c r="AD114" s="149"/>
    </row>
    <row r="115" spans="1:30" ht="14" x14ac:dyDescent="0.15">
      <c r="A115" s="149"/>
      <c r="B115" s="78"/>
      <c r="C115" s="405" t="s">
        <v>119</v>
      </c>
      <c r="D115" s="405" t="s">
        <v>202</v>
      </c>
      <c r="E115" s="408">
        <f>F115*0.85</f>
        <v>0.22950000000000001</v>
      </c>
      <c r="F115" s="426">
        <f>0.27</f>
        <v>0.27</v>
      </c>
      <c r="G115" s="408">
        <f>F115*1.15</f>
        <v>0.3105</v>
      </c>
      <c r="H115" s="78"/>
      <c r="Q115" s="149"/>
      <c r="R115" s="149"/>
      <c r="S115" s="149"/>
      <c r="T115" s="149"/>
      <c r="U115" s="149"/>
      <c r="V115" s="149"/>
      <c r="W115" s="149"/>
      <c r="X115" s="149"/>
      <c r="Y115" s="149"/>
      <c r="Z115" s="149"/>
      <c r="AA115" s="149"/>
      <c r="AB115" s="149"/>
      <c r="AC115" s="149"/>
      <c r="AD115" s="149"/>
    </row>
    <row r="116" spans="1:30" ht="14" x14ac:dyDescent="0.15">
      <c r="A116" s="149"/>
      <c r="B116" s="78"/>
      <c r="C116" s="405" t="s">
        <v>120</v>
      </c>
      <c r="D116" s="405" t="s">
        <v>203</v>
      </c>
      <c r="E116" s="433">
        <f>F116</f>
        <v>0.34</v>
      </c>
      <c r="F116" s="434">
        <f>0.34</f>
        <v>0.34</v>
      </c>
      <c r="G116" s="433">
        <f>F116</f>
        <v>0.34</v>
      </c>
      <c r="H116" s="78"/>
      <c r="Q116" s="149"/>
      <c r="R116" s="149"/>
      <c r="S116" s="149"/>
      <c r="T116" s="149"/>
      <c r="U116" s="149"/>
      <c r="V116" s="149"/>
      <c r="W116" s="149"/>
      <c r="X116" s="149"/>
      <c r="Y116" s="149"/>
      <c r="Z116" s="149"/>
      <c r="AA116" s="149"/>
      <c r="AB116" s="149"/>
      <c r="AC116" s="149"/>
      <c r="AD116" s="149"/>
    </row>
    <row r="117" spans="1:30" ht="14" x14ac:dyDescent="0.15">
      <c r="A117" s="149"/>
      <c r="B117" s="78"/>
      <c r="C117" s="405" t="s">
        <v>121</v>
      </c>
      <c r="D117" s="405" t="s">
        <v>203</v>
      </c>
      <c r="E117" s="435">
        <f>F117</f>
        <v>1.5</v>
      </c>
      <c r="F117" s="436">
        <v>1.5</v>
      </c>
      <c r="G117" s="435">
        <f>F117</f>
        <v>1.5</v>
      </c>
      <c r="H117" s="78"/>
      <c r="Q117" s="149"/>
      <c r="R117" s="149"/>
      <c r="S117" s="149"/>
      <c r="T117" s="149"/>
      <c r="U117" s="149"/>
      <c r="V117" s="149"/>
      <c r="W117" s="149"/>
      <c r="X117" s="149"/>
      <c r="Y117" s="149"/>
      <c r="Z117" s="149"/>
      <c r="AA117" s="149"/>
      <c r="AB117" s="149"/>
      <c r="AC117" s="149"/>
      <c r="AD117" s="149"/>
    </row>
    <row r="118" spans="1:30" ht="14" x14ac:dyDescent="0.15">
      <c r="A118" s="149"/>
      <c r="B118" s="78"/>
      <c r="C118" s="405" t="s">
        <v>122</v>
      </c>
      <c r="D118" s="405" t="s">
        <v>204</v>
      </c>
      <c r="E118" s="424">
        <f>F118*0.8</f>
        <v>192</v>
      </c>
      <c r="F118" s="425">
        <v>240</v>
      </c>
      <c r="G118" s="424">
        <f>F118*1.2</f>
        <v>288</v>
      </c>
      <c r="H118" s="78"/>
      <c r="Q118" s="149"/>
      <c r="R118" s="149"/>
      <c r="S118" s="149"/>
      <c r="T118" s="149"/>
      <c r="U118" s="149"/>
      <c r="V118" s="149"/>
      <c r="W118" s="149"/>
      <c r="X118" s="149"/>
      <c r="Y118" s="149"/>
      <c r="Z118" s="149"/>
      <c r="AA118" s="149"/>
      <c r="AB118" s="149"/>
      <c r="AC118" s="149"/>
      <c r="AD118" s="149"/>
    </row>
    <row r="119" spans="1:30" ht="14" x14ac:dyDescent="0.15">
      <c r="A119" s="149"/>
      <c r="B119" s="78"/>
      <c r="C119" s="448" t="s">
        <v>187</v>
      </c>
      <c r="D119" s="448" t="s">
        <v>187</v>
      </c>
      <c r="E119" s="451">
        <f>SUM('Data - Breakdown of Economic Co'!E118*'Data - Breakdown of Economic Co'!E117*'Data - Breakdown of Economic Co'!E115*'Data - Breakdown of Economic Co'!E116)</f>
        <v>22.472640000000002</v>
      </c>
      <c r="F119" s="451">
        <f>SUM('Data - Breakdown of Economic Co'!F118*'Data - Breakdown of Economic Co'!F117*'Data - Breakdown of Economic Co'!F116*'Data - Breakdown of Economic Co'!F115)</f>
        <v>33.048000000000002</v>
      </c>
      <c r="G119" s="451">
        <f>SUM('Data - Breakdown of Economic Co'!G118*'Data - Breakdown of Economic Co'!G117*'Data - Breakdown of Economic Co'!G116*'Data - Breakdown of Economic Co'!G115)</f>
        <v>45.606240000000007</v>
      </c>
      <c r="H119" s="78"/>
      <c r="Q119" s="149"/>
      <c r="R119" s="149"/>
      <c r="S119" s="149"/>
      <c r="T119" s="149"/>
      <c r="U119" s="149"/>
      <c r="V119" s="149"/>
      <c r="W119" s="149"/>
      <c r="X119" s="149"/>
      <c r="Y119" s="149"/>
      <c r="Z119" s="149"/>
      <c r="AA119" s="149"/>
      <c r="AB119" s="149"/>
      <c r="AC119" s="149"/>
      <c r="AD119" s="149"/>
    </row>
    <row r="120" spans="1:30" ht="15" thickBot="1" x14ac:dyDescent="0.2">
      <c r="A120" s="149"/>
      <c r="B120" s="78"/>
      <c r="C120" s="462" t="s">
        <v>188</v>
      </c>
      <c r="D120" s="454"/>
      <c r="E120" s="455">
        <f>SUM('Data - Breakdown of Economic Co'!E119*'Data - Breakdown of Economic Co'!E114)</f>
        <v>525859.77600000007</v>
      </c>
      <c r="F120" s="455">
        <f>SUM('Data - Breakdown of Economic Co'!F119*'Data - Breakdown of Economic Co'!F114)</f>
        <v>773323.20000000007</v>
      </c>
      <c r="G120" s="463">
        <f>SUM('Data - Breakdown of Economic Co'!G119*'Data - Breakdown of Economic Co'!G114)</f>
        <v>1067186.0160000001</v>
      </c>
      <c r="H120" s="78"/>
      <c r="Q120" s="149"/>
      <c r="R120" s="149"/>
      <c r="S120" s="149"/>
      <c r="T120" s="149"/>
      <c r="U120" s="149"/>
      <c r="V120" s="149"/>
      <c r="W120" s="149"/>
      <c r="X120" s="149"/>
      <c r="Y120" s="149"/>
      <c r="Z120" s="149"/>
      <c r="AA120" s="149"/>
      <c r="AB120" s="149"/>
      <c r="AC120" s="149"/>
      <c r="AD120" s="149"/>
    </row>
    <row r="121" spans="1:30" ht="15" thickTop="1" x14ac:dyDescent="0.15">
      <c r="A121" s="149"/>
      <c r="B121" s="78"/>
      <c r="C121" s="460" t="s">
        <v>205</v>
      </c>
      <c r="D121" s="366"/>
      <c r="E121" s="361"/>
      <c r="F121" s="361"/>
      <c r="G121" s="461"/>
      <c r="H121" s="59"/>
      <c r="Q121" s="149"/>
      <c r="R121" s="149"/>
      <c r="S121" s="149"/>
      <c r="T121" s="149"/>
      <c r="U121" s="149"/>
      <c r="V121" s="149"/>
      <c r="W121" s="149"/>
      <c r="X121" s="149"/>
      <c r="Y121" s="149"/>
      <c r="Z121" s="149"/>
      <c r="AA121" s="149"/>
      <c r="AB121" s="149"/>
      <c r="AC121" s="149"/>
      <c r="AD121" s="149"/>
    </row>
    <row r="122" spans="1:30" ht="14" x14ac:dyDescent="0.15">
      <c r="A122" s="149"/>
      <c r="B122" s="78"/>
      <c r="C122" s="405" t="s">
        <v>228</v>
      </c>
      <c r="D122" s="405" t="s">
        <v>181</v>
      </c>
      <c r="E122" s="422">
        <f>F122</f>
        <v>2600</v>
      </c>
      <c r="F122" s="422">
        <f>'Breakdown of Economic Costs '!D10</f>
        <v>2600</v>
      </c>
      <c r="G122" s="422">
        <f>F122</f>
        <v>2600</v>
      </c>
      <c r="H122" s="78"/>
      <c r="Q122" s="149"/>
      <c r="R122" s="149"/>
      <c r="S122" s="149"/>
      <c r="T122" s="149"/>
      <c r="U122" s="149"/>
      <c r="V122" s="149"/>
      <c r="W122" s="149"/>
      <c r="X122" s="149"/>
      <c r="Y122" s="149"/>
      <c r="Z122" s="149"/>
      <c r="AA122" s="149"/>
      <c r="AB122" s="149"/>
      <c r="AC122" s="149"/>
      <c r="AD122" s="149"/>
    </row>
    <row r="123" spans="1:30" ht="14" x14ac:dyDescent="0.15">
      <c r="A123" s="149"/>
      <c r="B123" s="78"/>
      <c r="C123" s="437" t="s">
        <v>246</v>
      </c>
      <c r="D123" s="405" t="s">
        <v>201</v>
      </c>
      <c r="E123" s="409">
        <f>F123</f>
        <v>9</v>
      </c>
      <c r="F123" s="409">
        <f>SUM('Breakdown of Economic Costs '!D15+'Breakdown of Economic Costs '!D16)</f>
        <v>9</v>
      </c>
      <c r="G123" s="409">
        <f>F123</f>
        <v>9</v>
      </c>
      <c r="H123" s="78"/>
      <c r="Q123" s="149"/>
      <c r="R123" s="149"/>
      <c r="S123" s="149"/>
      <c r="T123" s="149"/>
      <c r="U123" s="149"/>
      <c r="V123" s="149"/>
      <c r="W123" s="149"/>
      <c r="X123" s="149"/>
      <c r="Y123" s="149"/>
      <c r="Z123" s="149"/>
      <c r="AA123" s="149"/>
      <c r="AB123" s="149"/>
      <c r="AC123" s="149"/>
      <c r="AD123" s="149"/>
    </row>
    <row r="124" spans="1:30" ht="14" x14ac:dyDescent="0.15">
      <c r="A124" s="149"/>
      <c r="B124" s="78"/>
      <c r="C124" s="437" t="s">
        <v>118</v>
      </c>
      <c r="D124" s="405" t="s">
        <v>182</v>
      </c>
      <c r="E124" s="422">
        <f>F124</f>
        <v>23400</v>
      </c>
      <c r="F124" s="422">
        <f>SUM(F122*F123)</f>
        <v>23400</v>
      </c>
      <c r="G124" s="422">
        <f>F124</f>
        <v>23400</v>
      </c>
      <c r="H124" s="78"/>
      <c r="Q124" s="149"/>
      <c r="R124" s="149"/>
      <c r="S124" s="149"/>
      <c r="T124" s="149"/>
      <c r="U124" s="149"/>
      <c r="V124" s="149"/>
      <c r="W124" s="149"/>
      <c r="X124" s="149"/>
      <c r="Y124" s="149"/>
      <c r="Z124" s="149"/>
      <c r="AA124" s="149"/>
      <c r="AB124" s="149"/>
      <c r="AC124" s="149"/>
      <c r="AD124" s="149"/>
    </row>
    <row r="125" spans="1:30" ht="14" x14ac:dyDescent="0.15">
      <c r="A125" s="149"/>
      <c r="B125" s="78"/>
      <c r="C125" s="437" t="s">
        <v>125</v>
      </c>
      <c r="D125" s="437" t="s">
        <v>206</v>
      </c>
      <c r="E125" s="408">
        <f>F125*0.8</f>
        <v>0.24752000000000002</v>
      </c>
      <c r="F125" s="426">
        <v>0.30940000000000001</v>
      </c>
      <c r="G125" s="408">
        <f>F125*1.2</f>
        <v>0.37128</v>
      </c>
      <c r="H125" s="78"/>
      <c r="Q125" s="149"/>
      <c r="R125" s="149"/>
      <c r="S125" s="149"/>
      <c r="T125" s="149"/>
      <c r="U125" s="149"/>
      <c r="V125" s="149"/>
      <c r="W125" s="149"/>
      <c r="X125" s="149"/>
      <c r="Y125" s="149"/>
      <c r="Z125" s="149"/>
      <c r="AA125" s="149"/>
      <c r="AB125" s="149"/>
      <c r="AC125" s="149"/>
      <c r="AD125" s="149"/>
    </row>
    <row r="126" spans="1:30" ht="14" x14ac:dyDescent="0.15">
      <c r="A126" s="149"/>
      <c r="B126" s="78"/>
      <c r="C126" s="437" t="s">
        <v>126</v>
      </c>
      <c r="D126" s="437" t="s">
        <v>207</v>
      </c>
      <c r="E126" s="438">
        <f>F126</f>
        <v>406</v>
      </c>
      <c r="F126" s="438">
        <v>406</v>
      </c>
      <c r="G126" s="438">
        <f>F126</f>
        <v>406</v>
      </c>
      <c r="H126" s="78"/>
      <c r="Q126" s="149"/>
      <c r="R126" s="149"/>
      <c r="S126" s="149"/>
      <c r="T126" s="149"/>
      <c r="U126" s="149"/>
      <c r="V126" s="149"/>
      <c r="W126" s="149"/>
      <c r="X126" s="149"/>
      <c r="Y126" s="149"/>
      <c r="Z126" s="149"/>
      <c r="AA126" s="149"/>
      <c r="AB126" s="149"/>
      <c r="AC126" s="149"/>
      <c r="AD126" s="149"/>
    </row>
    <row r="127" spans="1:30" ht="14" x14ac:dyDescent="0.15">
      <c r="A127" s="149"/>
      <c r="B127" s="78"/>
      <c r="C127" s="448" t="s">
        <v>187</v>
      </c>
      <c r="D127" s="448" t="s">
        <v>187</v>
      </c>
      <c r="E127" s="451">
        <f>SUM('Data - Breakdown of Economic Co'!E126*'Data - Breakdown of Economic Co'!E125)</f>
        <v>100.49312</v>
      </c>
      <c r="F127" s="451">
        <f>SUM('Data - Breakdown of Economic Co'!F126*'Data - Breakdown of Economic Co'!F125)</f>
        <v>125.6164</v>
      </c>
      <c r="G127" s="451">
        <f>SUM('Data - Breakdown of Economic Co'!G126*'Data - Breakdown of Economic Co'!G125)</f>
        <v>150.73967999999999</v>
      </c>
      <c r="H127" s="78"/>
      <c r="Q127" s="149"/>
      <c r="R127" s="149"/>
      <c r="S127" s="149"/>
      <c r="T127" s="149"/>
      <c r="U127" s="149"/>
      <c r="V127" s="149"/>
      <c r="W127" s="149"/>
      <c r="X127" s="149"/>
      <c r="Y127" s="149"/>
      <c r="Z127" s="149"/>
      <c r="AA127" s="149"/>
      <c r="AB127" s="149"/>
      <c r="AC127" s="149"/>
      <c r="AD127" s="149"/>
    </row>
    <row r="128" spans="1:30" ht="15" thickBot="1" x14ac:dyDescent="0.2">
      <c r="A128" s="149"/>
      <c r="B128" s="78"/>
      <c r="C128" s="464" t="s">
        <v>188</v>
      </c>
      <c r="D128" s="450"/>
      <c r="E128" s="452">
        <f>SUM('Data - Breakdown of Economic Co'!E127*'Data - Breakdown of Economic Co'!E124)</f>
        <v>2351539.0079999999</v>
      </c>
      <c r="F128" s="452">
        <f>SUM('Data - Breakdown of Economic Co'!F127*'Data - Breakdown of Economic Co'!F124)</f>
        <v>2939423.76</v>
      </c>
      <c r="G128" s="465">
        <f>SUM('Data - Breakdown of Economic Co'!G127*'Data - Breakdown of Economic Co'!G124)</f>
        <v>3527308.5119999996</v>
      </c>
      <c r="H128" s="78"/>
      <c r="Q128" s="149"/>
      <c r="R128" s="149"/>
      <c r="S128" s="149"/>
      <c r="T128" s="149"/>
      <c r="U128" s="149"/>
      <c r="V128" s="149"/>
      <c r="W128" s="149"/>
      <c r="X128" s="149"/>
      <c r="Y128" s="149"/>
      <c r="Z128" s="149"/>
      <c r="AA128" s="149"/>
      <c r="AB128" s="149"/>
      <c r="AC128" s="149"/>
      <c r="AD128" s="149"/>
    </row>
    <row r="129" spans="1:30" ht="15" thickTop="1" x14ac:dyDescent="0.15">
      <c r="A129" s="149"/>
      <c r="B129" s="59"/>
      <c r="C129" s="466" t="s">
        <v>208</v>
      </c>
      <c r="D129" s="368"/>
      <c r="E129" s="360"/>
      <c r="F129" s="360"/>
      <c r="G129" s="467"/>
      <c r="H129" s="59"/>
      <c r="Q129" s="149"/>
      <c r="R129" s="149"/>
      <c r="S129" s="149"/>
      <c r="T129" s="149"/>
      <c r="U129" s="149"/>
      <c r="V129" s="149"/>
      <c r="W129" s="149"/>
      <c r="X129" s="149"/>
      <c r="Y129" s="149"/>
      <c r="Z129" s="149"/>
      <c r="AA129" s="149"/>
      <c r="AB129" s="149"/>
      <c r="AC129" s="149"/>
      <c r="AD129" s="149"/>
    </row>
    <row r="130" spans="1:30" ht="14" x14ac:dyDescent="0.15">
      <c r="A130" s="149"/>
      <c r="B130" s="78"/>
      <c r="C130" s="437" t="s">
        <v>260</v>
      </c>
      <c r="D130" s="405" t="s">
        <v>181</v>
      </c>
      <c r="E130" s="439">
        <f>F130</f>
        <v>2600</v>
      </c>
      <c r="F130" s="439">
        <f>'Breakdown of Economic Costs '!D10</f>
        <v>2600</v>
      </c>
      <c r="G130" s="439">
        <f>F130</f>
        <v>2600</v>
      </c>
      <c r="H130" s="78"/>
      <c r="Q130" s="149"/>
      <c r="R130" s="149"/>
      <c r="S130" s="149"/>
      <c r="T130" s="149"/>
      <c r="U130" s="149"/>
      <c r="V130" s="149"/>
      <c r="W130" s="149"/>
      <c r="X130" s="149"/>
      <c r="Y130" s="149"/>
      <c r="Z130" s="149"/>
      <c r="AA130" s="149"/>
      <c r="AB130" s="149"/>
      <c r="AC130" s="149"/>
      <c r="AD130" s="149"/>
    </row>
    <row r="131" spans="1:30" ht="14" x14ac:dyDescent="0.15">
      <c r="A131" s="149"/>
      <c r="B131" s="78"/>
      <c r="C131" s="437" t="s">
        <v>233</v>
      </c>
      <c r="D131" s="405" t="s">
        <v>143</v>
      </c>
      <c r="E131" s="440">
        <f>F131</f>
        <v>3</v>
      </c>
      <c r="F131" s="440">
        <f>'Breakdown of Economic Costs '!D15</f>
        <v>3</v>
      </c>
      <c r="G131" s="440">
        <f>F131</f>
        <v>3</v>
      </c>
      <c r="H131" s="78"/>
      <c r="Q131" s="149"/>
      <c r="R131" s="149"/>
      <c r="S131" s="149"/>
      <c r="T131" s="149"/>
      <c r="U131" s="149"/>
      <c r="V131" s="149"/>
      <c r="W131" s="149"/>
      <c r="X131" s="149"/>
      <c r="Y131" s="149"/>
      <c r="Z131" s="149"/>
      <c r="AA131" s="149"/>
      <c r="AB131" s="149"/>
      <c r="AC131" s="149"/>
      <c r="AD131" s="149"/>
    </row>
    <row r="132" spans="1:30" ht="14" x14ac:dyDescent="0.15">
      <c r="A132" s="149"/>
      <c r="B132" s="78"/>
      <c r="C132" s="437" t="s">
        <v>130</v>
      </c>
      <c r="D132" s="405" t="s">
        <v>182</v>
      </c>
      <c r="E132" s="441">
        <f>F132</f>
        <v>7800</v>
      </c>
      <c r="F132" s="441">
        <f>F130*F131</f>
        <v>7800</v>
      </c>
      <c r="G132" s="441">
        <f>F132</f>
        <v>7800</v>
      </c>
      <c r="H132" s="78"/>
      <c r="Q132" s="149"/>
      <c r="R132" s="149"/>
      <c r="S132" s="149"/>
      <c r="T132" s="149"/>
      <c r="U132" s="149"/>
      <c r="V132" s="149"/>
      <c r="W132" s="149"/>
      <c r="X132" s="149"/>
      <c r="Y132" s="149"/>
      <c r="Z132" s="149"/>
      <c r="AA132" s="149"/>
      <c r="AB132" s="149"/>
      <c r="AC132" s="149"/>
      <c r="AD132" s="149"/>
    </row>
    <row r="133" spans="1:30" ht="70" x14ac:dyDescent="0.15">
      <c r="A133" s="149"/>
      <c r="B133" s="78"/>
      <c r="C133" s="437" t="s">
        <v>131</v>
      </c>
      <c r="D133" s="405" t="s">
        <v>145</v>
      </c>
      <c r="E133" s="408">
        <f>F133*0.8</f>
        <v>3.8519999999999999E-2</v>
      </c>
      <c r="F133" s="442">
        <v>4.8149999999999998E-2</v>
      </c>
      <c r="G133" s="408">
        <f>F133*1.2</f>
        <v>5.7779999999999998E-2</v>
      </c>
      <c r="H133" s="78"/>
      <c r="Q133" s="149"/>
      <c r="R133" s="149"/>
      <c r="S133" s="149"/>
      <c r="T133" s="149"/>
      <c r="U133" s="149"/>
      <c r="V133" s="149"/>
      <c r="W133" s="149"/>
      <c r="X133" s="149"/>
      <c r="Y133" s="149"/>
      <c r="Z133" s="149"/>
      <c r="AA133" s="149"/>
      <c r="AB133" s="149"/>
      <c r="AC133" s="149"/>
      <c r="AD133" s="149"/>
    </row>
    <row r="134" spans="1:30" ht="14" x14ac:dyDescent="0.15">
      <c r="A134" s="149"/>
      <c r="B134" s="78"/>
      <c r="C134" s="437" t="s">
        <v>132</v>
      </c>
      <c r="D134" s="437" t="s">
        <v>209</v>
      </c>
      <c r="E134" s="424">
        <v>660</v>
      </c>
      <c r="F134" s="443">
        <v>1050</v>
      </c>
      <c r="G134" s="424">
        <v>1923</v>
      </c>
      <c r="H134" s="78"/>
      <c r="Q134" s="149"/>
      <c r="R134" s="149"/>
      <c r="S134" s="149"/>
      <c r="T134" s="149"/>
      <c r="U134" s="149"/>
      <c r="V134" s="149"/>
      <c r="W134" s="149"/>
      <c r="X134" s="149"/>
      <c r="Y134" s="149"/>
      <c r="Z134" s="149"/>
      <c r="AA134" s="149"/>
      <c r="AB134" s="149"/>
      <c r="AC134" s="149"/>
      <c r="AD134" s="149"/>
    </row>
    <row r="135" spans="1:30" ht="14" x14ac:dyDescent="0.15">
      <c r="A135" s="149"/>
      <c r="B135" s="78"/>
      <c r="C135" s="437" t="s">
        <v>133</v>
      </c>
      <c r="D135" s="437" t="s">
        <v>209</v>
      </c>
      <c r="E135" s="444">
        <f>F135</f>
        <v>283</v>
      </c>
      <c r="F135" s="445">
        <v>283</v>
      </c>
      <c r="G135" s="444">
        <f>F135</f>
        <v>283</v>
      </c>
      <c r="H135" s="78"/>
      <c r="Q135" s="149"/>
      <c r="R135" s="149"/>
      <c r="S135" s="149"/>
      <c r="T135" s="149"/>
      <c r="U135" s="149"/>
      <c r="V135" s="149"/>
      <c r="W135" s="149"/>
      <c r="X135" s="149"/>
      <c r="Y135" s="149"/>
      <c r="Z135" s="149"/>
      <c r="AA135" s="149"/>
      <c r="AB135" s="149"/>
      <c r="AC135" s="149"/>
      <c r="AD135" s="149"/>
    </row>
    <row r="136" spans="1:30" ht="70" x14ac:dyDescent="0.15">
      <c r="A136" s="149"/>
      <c r="B136" s="78"/>
      <c r="C136" s="437" t="s">
        <v>134</v>
      </c>
      <c r="D136" s="437" t="s">
        <v>147</v>
      </c>
      <c r="E136" s="446">
        <f>F136*0.8</f>
        <v>10.512</v>
      </c>
      <c r="F136" s="447">
        <v>13.14</v>
      </c>
      <c r="G136" s="446">
        <f>F136*1.2</f>
        <v>15.768000000000001</v>
      </c>
      <c r="H136" s="78"/>
      <c r="Q136" s="149"/>
      <c r="R136" s="149"/>
      <c r="S136" s="149"/>
      <c r="T136" s="149"/>
      <c r="U136" s="149"/>
      <c r="V136" s="149"/>
      <c r="W136" s="149"/>
      <c r="X136" s="149"/>
      <c r="Y136" s="149"/>
      <c r="Z136" s="149"/>
      <c r="AA136" s="149"/>
      <c r="AB136" s="149"/>
      <c r="AC136" s="149"/>
      <c r="AD136" s="149"/>
    </row>
    <row r="137" spans="1:30" ht="14" x14ac:dyDescent="0.15">
      <c r="A137" s="149"/>
      <c r="B137" s="78"/>
      <c r="C137" s="448" t="s">
        <v>187</v>
      </c>
      <c r="D137" s="448" t="s">
        <v>187</v>
      </c>
      <c r="E137" s="449">
        <f>SUM('Data - Breakdown of Economic Co'!E136*'Data - Breakdown of Economic Co'!E133*('Data - Breakdown of Economic Co'!E134-'Data - Breakdown of Economic Co'!E135))</f>
        <v>152.65568447999999</v>
      </c>
      <c r="F137" s="449">
        <f>SUM('Data - Breakdown of Economic Co'!F136*'Data - Breakdown of Economic Co'!F133*('Data - Breakdown of Economic Co'!F134-'Data - Breakdown of Economic Co'!F135))</f>
        <v>485.27399700000001</v>
      </c>
      <c r="G137" s="449">
        <f>SUM('Data - Breakdown of Economic Co'!G136*'Data - Breakdown of Economic Co'!G133*('Data - Breakdown of Economic Co'!G134-'Data - Breakdown of Economic Co'!G135))</f>
        <v>1494.1630656000002</v>
      </c>
      <c r="H137" s="78"/>
      <c r="Q137" s="149"/>
      <c r="R137" s="149"/>
      <c r="S137" s="149"/>
      <c r="T137" s="149"/>
      <c r="U137" s="149"/>
      <c r="V137" s="149"/>
      <c r="W137" s="149"/>
      <c r="X137" s="149"/>
      <c r="Y137" s="149"/>
      <c r="Z137" s="149"/>
      <c r="AA137" s="149"/>
      <c r="AB137" s="149"/>
      <c r="AC137" s="149"/>
      <c r="AD137" s="149"/>
    </row>
    <row r="138" spans="1:30" ht="14" x14ac:dyDescent="0.15">
      <c r="A138" s="149"/>
      <c r="B138" s="78"/>
      <c r="C138" s="468" t="s">
        <v>188</v>
      </c>
      <c r="D138" s="469"/>
      <c r="E138" s="470">
        <f>SUM('Data - Breakdown of Economic Co'!E137*'Data - Breakdown of Economic Co'!E132)</f>
        <v>1190714.338944</v>
      </c>
      <c r="F138" s="470">
        <f>SUM('Data - Breakdown of Economic Co'!F137*'Data - Breakdown of Economic Co'!F132)</f>
        <v>3785137.1765999999</v>
      </c>
      <c r="G138" s="471">
        <f>SUM('Data - Breakdown of Economic Co'!G137*'Data - Breakdown of Economic Co'!G132)</f>
        <v>11654471.911680002</v>
      </c>
      <c r="H138" s="78"/>
      <c r="Q138" s="149"/>
      <c r="R138" s="149"/>
      <c r="S138" s="149"/>
      <c r="T138" s="149"/>
      <c r="U138" s="149"/>
      <c r="V138" s="149"/>
      <c r="W138" s="149"/>
      <c r="X138" s="149"/>
      <c r="Y138" s="149"/>
      <c r="Z138" s="149"/>
      <c r="AA138" s="149"/>
      <c r="AB138" s="149"/>
      <c r="AC138" s="149"/>
      <c r="AD138" s="149"/>
    </row>
    <row r="139" spans="1:30" x14ac:dyDescent="0.15">
      <c r="A139" s="149"/>
      <c r="B139" s="59"/>
      <c r="C139" s="78"/>
      <c r="D139" s="78"/>
      <c r="E139" s="78"/>
      <c r="F139" s="78"/>
      <c r="G139" s="78"/>
      <c r="H139" s="59"/>
      <c r="Q139" s="149"/>
      <c r="R139" s="149"/>
      <c r="S139" s="149"/>
      <c r="T139" s="149"/>
      <c r="U139" s="149"/>
      <c r="V139" s="149"/>
      <c r="W139" s="149"/>
      <c r="X139" s="149"/>
      <c r="Y139" s="149"/>
      <c r="Z139" s="149"/>
      <c r="AA139" s="149"/>
      <c r="AB139" s="149"/>
      <c r="AC139" s="149"/>
      <c r="AD139" s="149"/>
    </row>
    <row r="140" spans="1:30" x14ac:dyDescent="0.15">
      <c r="A140" s="149"/>
      <c r="B140" s="149"/>
      <c r="C140" s="149"/>
      <c r="E140" s="149"/>
      <c r="F140" s="149"/>
      <c r="G140" s="149"/>
      <c r="H140" s="149"/>
      <c r="Q140" s="149"/>
      <c r="R140" s="149"/>
      <c r="S140" s="149"/>
      <c r="T140" s="149"/>
      <c r="U140" s="149"/>
      <c r="V140" s="149"/>
      <c r="W140" s="149"/>
      <c r="X140" s="149"/>
      <c r="Y140" s="149"/>
      <c r="Z140" s="149"/>
      <c r="AA140" s="149"/>
      <c r="AB140" s="149"/>
      <c r="AC140" s="149"/>
      <c r="AD140" s="149"/>
    </row>
    <row r="141" spans="1:30" x14ac:dyDescent="0.15">
      <c r="A141" s="149"/>
      <c r="B141" s="149"/>
      <c r="C141" s="149"/>
      <c r="E141" s="149"/>
      <c r="F141" s="149"/>
      <c r="G141" s="149"/>
      <c r="H141" s="149"/>
      <c r="Q141" s="149"/>
      <c r="R141" s="149"/>
      <c r="S141" s="149"/>
      <c r="T141" s="149"/>
      <c r="U141" s="149"/>
      <c r="V141" s="149"/>
      <c r="W141" s="149"/>
      <c r="X141" s="149"/>
      <c r="Y141" s="149"/>
      <c r="Z141" s="149"/>
      <c r="AA141" s="149"/>
      <c r="AB141" s="149"/>
      <c r="AC141" s="149"/>
      <c r="AD141" s="149"/>
    </row>
    <row r="142" spans="1:30" x14ac:dyDescent="0.15">
      <c r="A142" s="149"/>
      <c r="B142" s="149"/>
      <c r="C142" s="149"/>
      <c r="E142" s="149"/>
      <c r="F142" s="149"/>
      <c r="G142" s="149"/>
      <c r="H142" s="149"/>
      <c r="Q142" s="149"/>
      <c r="R142" s="149"/>
      <c r="S142" s="149"/>
      <c r="T142" s="149"/>
      <c r="U142" s="149"/>
      <c r="V142" s="149"/>
      <c r="W142" s="149"/>
      <c r="X142" s="149"/>
      <c r="Y142" s="149"/>
      <c r="Z142" s="149"/>
      <c r="AA142" s="149"/>
      <c r="AB142" s="149"/>
      <c r="AC142" s="149"/>
      <c r="AD142" s="149"/>
    </row>
    <row r="143" spans="1:30" x14ac:dyDescent="0.15">
      <c r="A143" s="149"/>
      <c r="B143" s="149"/>
      <c r="C143" s="149"/>
      <c r="E143" s="149"/>
      <c r="F143" s="149"/>
      <c r="G143" s="149"/>
      <c r="H143" s="149"/>
      <c r="Q143" s="149"/>
      <c r="R143" s="149"/>
      <c r="S143" s="149"/>
      <c r="T143" s="149"/>
      <c r="U143" s="149"/>
      <c r="V143" s="149"/>
      <c r="W143" s="149"/>
      <c r="X143" s="149"/>
      <c r="Y143" s="149"/>
      <c r="Z143" s="149"/>
      <c r="AA143" s="149"/>
      <c r="AB143" s="149"/>
      <c r="AC143" s="149"/>
      <c r="AD143" s="149"/>
    </row>
    <row r="144" spans="1:30" x14ac:dyDescent="0.15">
      <c r="A144" s="149"/>
      <c r="B144" s="149"/>
      <c r="C144" s="149"/>
      <c r="E144" s="149"/>
      <c r="F144" s="149"/>
      <c r="G144" s="149"/>
      <c r="H144" s="149"/>
      <c r="Q144" s="149"/>
      <c r="R144" s="149"/>
      <c r="S144" s="149"/>
      <c r="T144" s="149"/>
      <c r="U144" s="149"/>
      <c r="V144" s="149"/>
      <c r="W144" s="149"/>
      <c r="X144" s="149"/>
      <c r="Y144" s="149"/>
      <c r="Z144" s="149"/>
      <c r="AA144" s="149"/>
      <c r="AB144" s="149"/>
      <c r="AC144" s="149"/>
      <c r="AD144" s="149"/>
    </row>
    <row r="145" spans="1:30" x14ac:dyDescent="0.15">
      <c r="A145" s="149"/>
      <c r="B145" s="149"/>
      <c r="C145" s="149"/>
      <c r="E145" s="149"/>
      <c r="F145" s="149"/>
      <c r="G145" s="149"/>
      <c r="H145" s="149"/>
      <c r="Q145" s="149"/>
      <c r="R145" s="149"/>
      <c r="S145" s="149"/>
      <c r="T145" s="149"/>
      <c r="U145" s="149"/>
      <c r="V145" s="149"/>
      <c r="W145" s="149"/>
      <c r="X145" s="149"/>
      <c r="Y145" s="149"/>
      <c r="Z145" s="149"/>
      <c r="AA145" s="149"/>
      <c r="AB145" s="149"/>
      <c r="AC145" s="149"/>
      <c r="AD145" s="149"/>
    </row>
    <row r="146" spans="1:30" x14ac:dyDescent="0.15">
      <c r="A146" s="149"/>
      <c r="B146" s="149"/>
      <c r="C146" s="149"/>
      <c r="E146" s="149"/>
      <c r="F146" s="149"/>
      <c r="G146" s="149"/>
      <c r="H146" s="149"/>
      <c r="Q146" s="149"/>
      <c r="R146" s="149"/>
      <c r="S146" s="149"/>
      <c r="T146" s="149"/>
      <c r="U146" s="149"/>
      <c r="V146" s="149"/>
      <c r="W146" s="149"/>
      <c r="X146" s="149"/>
      <c r="Y146" s="149"/>
      <c r="Z146" s="149"/>
      <c r="AA146" s="149"/>
      <c r="AB146" s="149"/>
      <c r="AC146" s="149"/>
      <c r="AD146" s="149"/>
    </row>
    <row r="147" spans="1:30" x14ac:dyDescent="0.15">
      <c r="A147" s="149"/>
      <c r="B147" s="149"/>
      <c r="C147" s="149"/>
      <c r="E147" s="149"/>
      <c r="F147" s="149"/>
      <c r="G147" s="149"/>
      <c r="H147" s="149"/>
      <c r="Q147" s="149"/>
      <c r="R147" s="149"/>
      <c r="S147" s="149"/>
      <c r="T147" s="149"/>
      <c r="U147" s="149"/>
      <c r="V147" s="149"/>
      <c r="W147" s="149"/>
      <c r="X147" s="149"/>
      <c r="Y147" s="149"/>
      <c r="Z147" s="149"/>
      <c r="AA147" s="149"/>
      <c r="AB147" s="149"/>
      <c r="AC147" s="149"/>
      <c r="AD147" s="149"/>
    </row>
  </sheetData>
  <hyperlinks>
    <hyperlink ref="D39" r:id="rId1" xr:uid="{0DABC2FC-3C95-4850-983C-EFDD7C19F71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75941-6A0A-40F8-97FA-ED7046DBD40C}">
  <dimension ref="A1:AC40"/>
  <sheetViews>
    <sheetView showGridLines="0" workbookViewId="0">
      <selection activeCell="I43" sqref="I43"/>
    </sheetView>
  </sheetViews>
  <sheetFormatPr baseColWidth="10" defaultColWidth="8.83203125" defaultRowHeight="13" x14ac:dyDescent="0.15"/>
  <cols>
    <col min="1" max="1" width="4.1640625" style="149" customWidth="1"/>
    <col min="2" max="2" width="5" style="149" customWidth="1"/>
    <col min="3" max="3" width="45.33203125" customWidth="1"/>
    <col min="4" max="4" width="36" customWidth="1"/>
    <col min="5" max="5" width="5" customWidth="1"/>
  </cols>
  <sheetData>
    <row r="1" spans="1:29" s="277" customForma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row>
    <row r="2" spans="1:29" s="277" customFormat="1" x14ac:dyDescent="0.15">
      <c r="A2" s="3" t="s">
        <v>210</v>
      </c>
      <c r="B2" s="2"/>
      <c r="C2" s="2"/>
      <c r="D2" s="2"/>
      <c r="E2" s="2"/>
      <c r="F2" s="2"/>
      <c r="G2" s="2"/>
      <c r="H2" s="2"/>
      <c r="I2" s="2"/>
      <c r="J2" s="2"/>
      <c r="K2" s="2"/>
      <c r="L2" s="2"/>
      <c r="M2" s="2"/>
      <c r="N2" s="2"/>
      <c r="O2" s="2"/>
      <c r="P2" s="2"/>
      <c r="Q2" s="2"/>
      <c r="R2" s="2"/>
      <c r="S2" s="2"/>
      <c r="T2" s="2"/>
      <c r="U2" s="2"/>
      <c r="V2" s="2"/>
      <c r="W2" s="2"/>
      <c r="X2" s="2"/>
      <c r="Y2" s="2"/>
      <c r="Z2" s="2"/>
      <c r="AA2" s="2"/>
      <c r="AB2" s="2"/>
      <c r="AC2" s="2"/>
    </row>
    <row r="3" spans="1:29" s="149" customFormat="1" x14ac:dyDescent="0.15">
      <c r="C3" s="42"/>
    </row>
    <row r="4" spans="1:29" s="149" customFormat="1" x14ac:dyDescent="0.15">
      <c r="B4" s="354" t="s">
        <v>211</v>
      </c>
      <c r="C4" s="200"/>
      <c r="D4" s="59"/>
      <c r="E4" s="59"/>
    </row>
    <row r="5" spans="1:29" s="149" customFormat="1" x14ac:dyDescent="0.15">
      <c r="B5" s="59"/>
      <c r="C5" s="200"/>
      <c r="D5" s="59"/>
      <c r="E5" s="59"/>
    </row>
    <row r="6" spans="1:29" ht="14" x14ac:dyDescent="0.15">
      <c r="B6" s="59"/>
      <c r="C6" s="477" t="s">
        <v>212</v>
      </c>
      <c r="D6" s="478" t="s">
        <v>211</v>
      </c>
      <c r="E6" s="59"/>
      <c r="F6" s="149"/>
      <c r="G6" s="149"/>
      <c r="H6" s="149"/>
      <c r="I6" s="149"/>
      <c r="J6" s="149"/>
      <c r="K6" s="149"/>
      <c r="L6" s="149"/>
      <c r="M6" s="149"/>
      <c r="N6" s="149"/>
      <c r="O6" s="149"/>
      <c r="P6" s="149"/>
      <c r="Q6" s="149"/>
      <c r="R6" s="149"/>
      <c r="S6" s="149"/>
      <c r="T6" s="149"/>
      <c r="U6" s="149"/>
      <c r="V6" s="149"/>
      <c r="W6" s="149"/>
      <c r="X6" s="149"/>
      <c r="Y6" s="149"/>
      <c r="Z6" s="149"/>
      <c r="AA6" s="149"/>
      <c r="AB6" s="149"/>
      <c r="AC6" s="149"/>
    </row>
    <row r="7" spans="1:29" ht="14" x14ac:dyDescent="0.15">
      <c r="B7" s="59"/>
      <c r="C7" s="475" t="s">
        <v>46</v>
      </c>
      <c r="D7" s="476">
        <f>'Breakdown of Economic Costs '!E29</f>
        <v>1396165.3791428574</v>
      </c>
      <c r="E7" s="78"/>
      <c r="F7" s="149"/>
      <c r="G7" s="149"/>
      <c r="H7" s="149"/>
      <c r="I7" s="149"/>
      <c r="J7" s="149"/>
      <c r="K7" s="149"/>
      <c r="L7" s="149"/>
      <c r="M7" s="149"/>
      <c r="N7" s="149"/>
      <c r="O7" s="149"/>
      <c r="P7" s="149"/>
      <c r="Q7" s="149"/>
      <c r="R7" s="149"/>
      <c r="S7" s="149"/>
      <c r="T7" s="149"/>
      <c r="U7" s="149"/>
      <c r="V7" s="149"/>
      <c r="W7" s="149"/>
      <c r="X7" s="149"/>
      <c r="Y7" s="149"/>
      <c r="Z7" s="149"/>
      <c r="AA7" s="149"/>
      <c r="AB7" s="149"/>
      <c r="AC7" s="149"/>
    </row>
    <row r="8" spans="1:29" ht="14" x14ac:dyDescent="0.15">
      <c r="B8" s="59"/>
      <c r="C8" s="473" t="s">
        <v>47</v>
      </c>
      <c r="D8" s="472">
        <f>'Breakdown of Economic Costs '!E45</f>
        <v>16215576</v>
      </c>
      <c r="E8" s="78"/>
      <c r="F8" s="149"/>
      <c r="G8" s="149"/>
      <c r="H8" s="149"/>
      <c r="I8" s="149"/>
      <c r="J8" s="149"/>
      <c r="K8" s="149"/>
      <c r="L8" s="149"/>
      <c r="M8" s="149"/>
      <c r="N8" s="149"/>
      <c r="O8" s="149"/>
      <c r="P8" s="149"/>
      <c r="Q8" s="149"/>
      <c r="R8" s="149"/>
      <c r="S8" s="149"/>
      <c r="T8" s="149"/>
      <c r="U8" s="149"/>
      <c r="V8" s="149"/>
      <c r="W8" s="149"/>
      <c r="X8" s="149"/>
      <c r="Y8" s="149"/>
      <c r="Z8" s="149"/>
      <c r="AA8" s="149"/>
      <c r="AB8" s="149"/>
      <c r="AC8" s="149"/>
    </row>
    <row r="9" spans="1:29" ht="28" x14ac:dyDescent="0.15">
      <c r="B9" s="59"/>
      <c r="C9" s="473" t="s">
        <v>59</v>
      </c>
      <c r="D9" s="472">
        <f>'Breakdown of Economic Costs '!E100</f>
        <v>112408222.14089999</v>
      </c>
      <c r="E9" s="78"/>
      <c r="F9" s="149"/>
      <c r="G9" s="149"/>
      <c r="H9" s="149"/>
      <c r="I9" s="149"/>
      <c r="J9" s="149"/>
      <c r="K9" s="149"/>
      <c r="L9" s="149"/>
      <c r="M9" s="149"/>
      <c r="N9" s="149"/>
      <c r="O9" s="149"/>
      <c r="P9" s="149"/>
      <c r="Q9" s="149"/>
      <c r="R9" s="149"/>
      <c r="S9" s="149"/>
      <c r="T9" s="149"/>
      <c r="U9" s="149"/>
      <c r="V9" s="149"/>
      <c r="W9" s="149"/>
      <c r="X9" s="149"/>
      <c r="Y9" s="149"/>
      <c r="Z9" s="149"/>
      <c r="AA9" s="149"/>
      <c r="AB9" s="149"/>
      <c r="AC9" s="149"/>
    </row>
    <row r="10" spans="1:29" ht="14" customHeight="1" x14ac:dyDescent="0.15">
      <c r="B10" s="59"/>
      <c r="C10" s="78"/>
      <c r="D10" s="78"/>
      <c r="E10" s="5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row>
    <row r="11" spans="1:29" s="52" customFormat="1" x14ac:dyDescent="0.15">
      <c r="C11" s="342"/>
      <c r="D11" s="342"/>
    </row>
    <row r="12" spans="1:29" ht="14" customHeight="1" x14ac:dyDescent="0.15">
      <c r="B12" s="60" t="s">
        <v>213</v>
      </c>
      <c r="C12" s="59"/>
      <c r="D12" s="59"/>
      <c r="E12" s="5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row>
    <row r="13" spans="1:29" x14ac:dyDescent="0.15">
      <c r="B13" s="59"/>
      <c r="C13" s="59"/>
      <c r="D13" s="59"/>
      <c r="E13" s="5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row>
    <row r="14" spans="1:29" ht="14" x14ac:dyDescent="0.15">
      <c r="B14" s="59"/>
      <c r="C14" s="477" t="s">
        <v>212</v>
      </c>
      <c r="D14" s="478" t="s">
        <v>213</v>
      </c>
      <c r="E14" s="5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row>
    <row r="15" spans="1:29" ht="28" x14ac:dyDescent="0.15">
      <c r="B15" s="78"/>
      <c r="C15" s="479" t="s">
        <v>81</v>
      </c>
      <c r="D15" s="480">
        <f>'Breakdown of Economic Costs '!E80</f>
        <v>98897001.839999989</v>
      </c>
      <c r="E15" s="78"/>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row>
    <row r="16" spans="1:29" ht="28" x14ac:dyDescent="0.15">
      <c r="B16" s="78"/>
      <c r="C16" s="407" t="s">
        <v>82</v>
      </c>
      <c r="D16" s="474">
        <f>'Breakdown of Economic Costs '!E100</f>
        <v>112408222.14089999</v>
      </c>
      <c r="E16" s="78"/>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row>
    <row r="17" spans="2:29" x14ac:dyDescent="0.15">
      <c r="B17" s="59"/>
      <c r="C17" s="78"/>
      <c r="D17" s="78"/>
      <c r="E17" s="5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row>
    <row r="18" spans="2:29" s="52" customFormat="1" x14ac:dyDescent="0.15">
      <c r="C18" s="342"/>
      <c r="D18" s="342"/>
    </row>
    <row r="19" spans="2:29" ht="14" customHeight="1" x14ac:dyDescent="0.15">
      <c r="B19" s="60" t="s">
        <v>214</v>
      </c>
      <c r="C19" s="59"/>
      <c r="D19" s="59"/>
      <c r="E19" s="5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row>
    <row r="20" spans="2:29" x14ac:dyDescent="0.15">
      <c r="B20" s="59"/>
      <c r="C20" s="59"/>
      <c r="D20" s="59"/>
      <c r="E20" s="5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row>
    <row r="21" spans="2:29" ht="14" x14ac:dyDescent="0.15">
      <c r="B21" s="59"/>
      <c r="C21" s="477" t="s">
        <v>212</v>
      </c>
      <c r="D21" s="478" t="s">
        <v>214</v>
      </c>
      <c r="E21" s="5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row>
    <row r="22" spans="2:29" ht="28" x14ac:dyDescent="0.15">
      <c r="B22" s="78"/>
      <c r="C22" s="479" t="s">
        <v>215</v>
      </c>
      <c r="D22" s="480">
        <f>'Breakdown of Economic Costs '!E119</f>
        <v>2874144</v>
      </c>
      <c r="E22" s="5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row>
    <row r="23" spans="2:29" ht="28" x14ac:dyDescent="0.15">
      <c r="B23" s="59"/>
      <c r="C23" s="407" t="s">
        <v>216</v>
      </c>
      <c r="D23" s="474">
        <f>'Breakdown of Economic Costs '!E131</f>
        <v>702000.00000000012</v>
      </c>
      <c r="E23" s="5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row>
    <row r="24" spans="2:29" ht="12.75" customHeight="1" x14ac:dyDescent="0.15">
      <c r="B24" s="59"/>
      <c r="C24" s="407" t="s">
        <v>217</v>
      </c>
      <c r="D24" s="474">
        <f>'Breakdown of Economic Costs '!E140</f>
        <v>514800</v>
      </c>
      <c r="E24" s="5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row>
    <row r="25" spans="2:29" ht="28" x14ac:dyDescent="0.15">
      <c r="B25" s="59"/>
      <c r="C25" s="407" t="s">
        <v>218</v>
      </c>
      <c r="D25" s="474">
        <f>'Breakdown of Economic Costs '!E153</f>
        <v>2615184</v>
      </c>
      <c r="E25" s="5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row>
    <row r="26" spans="2:29" ht="28" x14ac:dyDescent="0.15">
      <c r="B26" s="59"/>
      <c r="C26" s="407" t="s">
        <v>219</v>
      </c>
      <c r="D26" s="474">
        <f>'Breakdown of Economic Costs '!E176</f>
        <v>3712746.96</v>
      </c>
      <c r="E26" s="5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row>
    <row r="27" spans="2:29" ht="28" x14ac:dyDescent="0.15">
      <c r="B27" s="59"/>
      <c r="C27" s="407" t="s">
        <v>220</v>
      </c>
      <c r="D27" s="474">
        <f>'Breakdown of Economic Costs '!E189</f>
        <v>3785137.1765999999</v>
      </c>
      <c r="E27" s="5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row>
    <row r="28" spans="2:29" x14ac:dyDescent="0.15">
      <c r="B28" s="59"/>
      <c r="C28" s="59"/>
      <c r="D28" s="201"/>
      <c r="E28" s="5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row>
    <row r="29" spans="2:29" s="52" customFormat="1" x14ac:dyDescent="0.15">
      <c r="D29" s="355"/>
    </row>
    <row r="30" spans="2:29" x14ac:dyDescent="0.15">
      <c r="B30" s="60" t="s">
        <v>221</v>
      </c>
      <c r="C30" s="59"/>
      <c r="D30" s="59"/>
      <c r="E30" s="5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row>
    <row r="31" spans="2:29" x14ac:dyDescent="0.15">
      <c r="B31" s="59"/>
      <c r="C31" s="59"/>
      <c r="D31" s="59"/>
      <c r="E31" s="5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row>
    <row r="32" spans="2:29" ht="14" x14ac:dyDescent="0.15">
      <c r="B32" s="59"/>
      <c r="C32" s="477" t="s">
        <v>222</v>
      </c>
      <c r="D32" s="478" t="s">
        <v>221</v>
      </c>
      <c r="E32" s="5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row>
    <row r="33" spans="2:29" ht="14" x14ac:dyDescent="0.15">
      <c r="B33" s="59"/>
      <c r="C33" s="479" t="s">
        <v>223</v>
      </c>
      <c r="D33" s="480">
        <f>'Breakdown of Economic Costs '!E66</f>
        <v>30924051.779142857</v>
      </c>
      <c r="E33" s="5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row>
    <row r="34" spans="2:29" ht="14" x14ac:dyDescent="0.15">
      <c r="B34" s="59"/>
      <c r="C34" s="407" t="s">
        <v>224</v>
      </c>
      <c r="D34" s="474">
        <f>'Breakdown of Economic Costs '!E102</f>
        <v>211305223.98089999</v>
      </c>
      <c r="E34" s="5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row>
    <row r="35" spans="2:29" ht="14" x14ac:dyDescent="0.15">
      <c r="B35" s="59"/>
      <c r="C35" s="407" t="s">
        <v>225</v>
      </c>
      <c r="D35" s="474">
        <f>'Breakdown of Economic Costs '!E193</f>
        <v>14204012.136599999</v>
      </c>
      <c r="E35" s="5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row>
    <row r="36" spans="2:29" x14ac:dyDescent="0.15">
      <c r="B36" s="59"/>
      <c r="C36" s="59"/>
      <c r="D36" s="59"/>
      <c r="E36" s="5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row>
    <row r="37" spans="2:29" x14ac:dyDescent="0.15">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row>
    <row r="38" spans="2:29" x14ac:dyDescent="0.15">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row>
    <row r="39" spans="2:29" x14ac:dyDescent="0.15">
      <c r="C39" s="149"/>
      <c r="D39" s="149"/>
      <c r="E39" s="149"/>
      <c r="F39" s="149"/>
      <c r="G39" s="149"/>
      <c r="H39" s="149"/>
      <c r="I39" s="149"/>
      <c r="J39" s="149"/>
      <c r="K39" s="149"/>
      <c r="L39" s="149"/>
      <c r="M39" s="149"/>
      <c r="N39" s="149"/>
      <c r="O39" s="149"/>
      <c r="P39" s="149"/>
      <c r="Q39" s="149"/>
      <c r="R39" s="149"/>
      <c r="S39" s="149"/>
      <c r="T39" s="149"/>
      <c r="U39" s="149"/>
      <c r="V39" s="149"/>
      <c r="W39" s="149"/>
      <c r="X39" s="149"/>
      <c r="Y39" s="149"/>
      <c r="Z39" s="149"/>
      <c r="AA39" s="149"/>
      <c r="AB39" s="149"/>
      <c r="AC39" s="149"/>
    </row>
    <row r="40" spans="2:29" x14ac:dyDescent="0.15">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Instructions </vt:lpstr>
      <vt:lpstr>Dashboard </vt:lpstr>
      <vt:lpstr>Breakdown of Economic Costs </vt:lpstr>
      <vt:lpstr>Customisable Model</vt:lpstr>
      <vt:lpstr>Data - Breakdown of Economic Co</vt:lpstr>
      <vt:lpstr>Data - Dashboard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Microsoft Office User</cp:lastModifiedBy>
  <cp:revision/>
  <dcterms:created xsi:type="dcterms:W3CDTF">2020-06-18T12:08:03Z</dcterms:created>
  <dcterms:modified xsi:type="dcterms:W3CDTF">2020-06-28T16:17:15Z</dcterms:modified>
  <cp:category/>
  <cp:contentStatus/>
</cp:coreProperties>
</file>